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rigi-Laura\Küldöttgyűlések\Küldöttgyűlés2025_10_20\"/>
    </mc:Choice>
  </mc:AlternateContent>
  <xr:revisionPtr revIDLastSave="0" documentId="8_{24DEA5D7-3D09-4554-9B25-960AE9327667}" xr6:coauthVersionLast="47" xr6:coauthVersionMax="47" xr10:uidLastSave="{00000000-0000-0000-0000-000000000000}"/>
  <bookViews>
    <workbookView xWindow="2295" yWindow="2505" windowWidth="21600" windowHeight="11295" xr2:uid="{8471D019-496C-4433-93E0-B01704B9C56F}"/>
  </bookViews>
  <sheets>
    <sheet name="Munka1" sheetId="1" r:id="rId1"/>
    <sheet name="Munka2" sheetId="2" r:id="rId2"/>
  </sheets>
  <externalReferences>
    <externalReference r:id="rId3"/>
  </externalReferences>
  <definedNames>
    <definedName name="_xlnm.Print_Titles" localSheetId="0">Munka1!$1:$2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K62" i="1"/>
  <c r="R31" i="1"/>
  <c r="R35" i="1"/>
  <c r="R5" i="1"/>
  <c r="R4" i="1"/>
  <c r="R6" i="1"/>
  <c r="L90" i="1"/>
  <c r="M90" i="1"/>
  <c r="N90" i="1"/>
  <c r="O90" i="1"/>
  <c r="P90" i="1"/>
  <c r="Q90" i="1"/>
  <c r="R42" i="1"/>
  <c r="R41" i="1"/>
  <c r="R40" i="1"/>
  <c r="L34" i="1"/>
  <c r="M34" i="1"/>
  <c r="N34" i="1"/>
  <c r="O34" i="1"/>
  <c r="P34" i="1"/>
  <c r="Q34" i="1"/>
  <c r="R13" i="1"/>
  <c r="K56" i="1"/>
  <c r="K51" i="1"/>
  <c r="K50" i="1"/>
  <c r="K44" i="1"/>
  <c r="K41" i="1"/>
  <c r="K7" i="1"/>
  <c r="K3" i="1"/>
  <c r="K57" i="1"/>
  <c r="K15" i="1"/>
  <c r="K34" i="1" l="1"/>
  <c r="K80" i="1"/>
  <c r="K68" i="1"/>
  <c r="K38" i="1"/>
  <c r="R15" i="1"/>
  <c r="R54" i="1"/>
  <c r="R53" i="1" s="1"/>
  <c r="R36" i="1"/>
  <c r="R44" i="1"/>
  <c r="R43" i="1"/>
  <c r="R37" i="1"/>
  <c r="R7" i="1"/>
  <c r="R48" i="1"/>
  <c r="R34" i="1" l="1"/>
  <c r="R47" i="1"/>
  <c r="R68" i="1"/>
  <c r="K33" i="1"/>
  <c r="K67" i="1"/>
  <c r="R80" i="1"/>
  <c r="R38" i="1"/>
  <c r="R3" i="1"/>
  <c r="K31" i="1"/>
  <c r="R33" i="1" l="1"/>
  <c r="R67" i="1"/>
  <c r="K53" i="1"/>
  <c r="P82" i="1"/>
  <c r="O82" i="1"/>
  <c r="M82" i="1"/>
  <c r="L82" i="1"/>
  <c r="F3" i="1"/>
  <c r="G4" i="1"/>
  <c r="G3" i="1" s="1"/>
  <c r="H4" i="1"/>
  <c r="I4" i="1" s="1"/>
  <c r="I5" i="1"/>
  <c r="I6" i="1"/>
  <c r="J6" i="1" s="1"/>
  <c r="J3" i="1" s="1"/>
  <c r="F7" i="1"/>
  <c r="H7" i="1"/>
  <c r="G8" i="1"/>
  <c r="G7" i="1" s="1"/>
  <c r="I8" i="1"/>
  <c r="I7" i="1" s="1"/>
  <c r="I15" i="1"/>
  <c r="G16" i="1"/>
  <c r="G15" i="1" s="1"/>
  <c r="H16" i="1"/>
  <c r="H15" i="1" s="1"/>
  <c r="G18" i="1"/>
  <c r="H18" i="1"/>
  <c r="I18" i="1"/>
  <c r="I19" i="1"/>
  <c r="I21" i="1"/>
  <c r="F34" i="1"/>
  <c r="G35" i="1"/>
  <c r="G34" i="1" s="1"/>
  <c r="H35" i="1"/>
  <c r="H34" i="1" s="1"/>
  <c r="I36" i="1"/>
  <c r="F38" i="1"/>
  <c r="G39" i="1"/>
  <c r="I39" i="1"/>
  <c r="J39" i="1" s="1"/>
  <c r="G40" i="1"/>
  <c r="H40" i="1"/>
  <c r="I40" i="1"/>
  <c r="J40" i="1" s="1"/>
  <c r="G41" i="1"/>
  <c r="H41" i="1"/>
  <c r="I41" i="1"/>
  <c r="J41" i="1" s="1"/>
  <c r="G42" i="1"/>
  <c r="I42" i="1"/>
  <c r="J42" i="1" s="1"/>
  <c r="I43" i="1"/>
  <c r="H44" i="1"/>
  <c r="G45" i="1"/>
  <c r="G44" i="1" s="1"/>
  <c r="I45" i="1"/>
  <c r="I44" i="1" s="1"/>
  <c r="F47" i="1"/>
  <c r="I48" i="1"/>
  <c r="G49" i="1"/>
  <c r="G50" i="1"/>
  <c r="H50" i="1"/>
  <c r="H48" i="1" s="1"/>
  <c r="G51" i="1"/>
  <c r="G52" i="1"/>
  <c r="H53" i="1"/>
  <c r="I53" i="1"/>
  <c r="G54" i="1"/>
  <c r="G55" i="1"/>
  <c r="G56" i="1"/>
  <c r="I57" i="1"/>
  <c r="G58" i="1"/>
  <c r="G57" i="1" s="1"/>
  <c r="G60" i="1"/>
  <c r="G61" i="1"/>
  <c r="G62" i="1"/>
  <c r="G63" i="1"/>
  <c r="G64" i="1"/>
  <c r="F68" i="1"/>
  <c r="F67" i="1" s="1"/>
  <c r="H68" i="1"/>
  <c r="G69" i="1"/>
  <c r="I69" i="1"/>
  <c r="G70" i="1"/>
  <c r="I70" i="1"/>
  <c r="G71" i="1"/>
  <c r="G72" i="1"/>
  <c r="I72" i="1"/>
  <c r="G73" i="1"/>
  <c r="I73" i="1"/>
  <c r="G74" i="1"/>
  <c r="I74" i="1"/>
  <c r="G75" i="1"/>
  <c r="I75" i="1"/>
  <c r="G76" i="1"/>
  <c r="G77" i="1"/>
  <c r="I77" i="1"/>
  <c r="G78" i="1"/>
  <c r="I78" i="1"/>
  <c r="H80" i="1"/>
  <c r="G81" i="1"/>
  <c r="I81" i="1"/>
  <c r="G82" i="1"/>
  <c r="I82" i="1"/>
  <c r="G83" i="1"/>
  <c r="I83" i="1"/>
  <c r="H84" i="1"/>
  <c r="I84" i="1"/>
  <c r="I85" i="1"/>
  <c r="G86" i="1"/>
  <c r="I86" i="1"/>
  <c r="G87" i="1"/>
  <c r="H87" i="1" s="1"/>
  <c r="I87" i="1"/>
  <c r="G89" i="1"/>
  <c r="H89" i="1"/>
  <c r="I89" i="1" s="1"/>
  <c r="A13" i="2"/>
  <c r="A7" i="2"/>
  <c r="A11" i="2"/>
  <c r="J89" i="1"/>
  <c r="J80" i="1"/>
  <c r="J68" i="1"/>
  <c r="J57" i="1"/>
  <c r="J53" i="1"/>
  <c r="J48" i="1"/>
  <c r="J44" i="1"/>
  <c r="J37" i="1"/>
  <c r="J34" i="1" s="1"/>
  <c r="J21" i="1"/>
  <c r="J15" i="1"/>
  <c r="J7" i="1"/>
  <c r="E86" i="1"/>
  <c r="E85" i="1"/>
  <c r="C83" i="1"/>
  <c r="C82" i="1"/>
  <c r="D80" i="1"/>
  <c r="B80" i="1"/>
  <c r="D79" i="1"/>
  <c r="E79" i="1" s="1"/>
  <c r="C78" i="1"/>
  <c r="E77" i="1"/>
  <c r="C76" i="1"/>
  <c r="E76" i="1" s="1"/>
  <c r="D75" i="1"/>
  <c r="C75" i="1"/>
  <c r="D74" i="1"/>
  <c r="C74" i="1"/>
  <c r="B74" i="1"/>
  <c r="B68" i="1" s="1"/>
  <c r="D73" i="1"/>
  <c r="C73" i="1"/>
  <c r="D72" i="1"/>
  <c r="C72" i="1"/>
  <c r="D71" i="1"/>
  <c r="C71" i="1"/>
  <c r="D70" i="1"/>
  <c r="C70" i="1"/>
  <c r="D69" i="1"/>
  <c r="E69" i="1" s="1"/>
  <c r="E66" i="1"/>
  <c r="E65" i="1"/>
  <c r="E64" i="1"/>
  <c r="C63" i="1"/>
  <c r="E63" i="1" s="1"/>
  <c r="E62" i="1"/>
  <c r="E61" i="1"/>
  <c r="E60" i="1"/>
  <c r="D59" i="1"/>
  <c r="D57" i="1" s="1"/>
  <c r="C58" i="1"/>
  <c r="C57" i="1" s="1"/>
  <c r="B57" i="1"/>
  <c r="D56" i="1"/>
  <c r="C56" i="1"/>
  <c r="D55" i="1"/>
  <c r="D53" i="1" s="1"/>
  <c r="C53" i="1"/>
  <c r="B53" i="1"/>
  <c r="D48" i="1"/>
  <c r="C48" i="1"/>
  <c r="B48" i="1"/>
  <c r="C46" i="1"/>
  <c r="C45" i="1"/>
  <c r="D44" i="1"/>
  <c r="D43" i="1"/>
  <c r="C43" i="1"/>
  <c r="D42" i="1"/>
  <c r="D41" i="1"/>
  <c r="C41" i="1"/>
  <c r="D40" i="1"/>
  <c r="C40" i="1"/>
  <c r="D39" i="1"/>
  <c r="C39" i="1"/>
  <c r="D37" i="1"/>
  <c r="C37" i="1"/>
  <c r="C35" i="1" s="1"/>
  <c r="D36" i="1"/>
  <c r="C36" i="1"/>
  <c r="D35" i="1"/>
  <c r="B33" i="1"/>
  <c r="C21" i="1"/>
  <c r="E21" i="1" s="1"/>
  <c r="E19" i="1"/>
  <c r="E18" i="1"/>
  <c r="C16" i="1"/>
  <c r="C15" i="1" s="1"/>
  <c r="D15" i="1"/>
  <c r="E13" i="1"/>
  <c r="E10" i="1"/>
  <c r="E8" i="1"/>
  <c r="D7" i="1"/>
  <c r="C7" i="1"/>
  <c r="B7" i="1"/>
  <c r="C5" i="1"/>
  <c r="B5" i="1"/>
  <c r="D4" i="1"/>
  <c r="D3" i="1" s="1"/>
  <c r="C4" i="1"/>
  <c r="B4" i="1"/>
  <c r="R90" i="1" l="1"/>
  <c r="J31" i="1"/>
  <c r="I3" i="1"/>
  <c r="I31" i="1" s="1"/>
  <c r="B67" i="1"/>
  <c r="H3" i="1"/>
  <c r="H31" i="1" s="1"/>
  <c r="G38" i="1"/>
  <c r="G33" i="1" s="1"/>
  <c r="F31" i="1"/>
  <c r="H47" i="1"/>
  <c r="H38" i="1"/>
  <c r="H33" i="1" s="1"/>
  <c r="F33" i="1"/>
  <c r="F90" i="1" s="1"/>
  <c r="G80" i="1"/>
  <c r="G31" i="1"/>
  <c r="I80" i="1"/>
  <c r="I38" i="1"/>
  <c r="G53" i="1"/>
  <c r="I47" i="1"/>
  <c r="I68" i="1"/>
  <c r="G68" i="1"/>
  <c r="C80" i="1"/>
  <c r="E80" i="1" s="1"/>
  <c r="H67" i="1"/>
  <c r="I58" i="1"/>
  <c r="G48" i="1"/>
  <c r="C38" i="1"/>
  <c r="I35" i="1"/>
  <c r="I34" i="1" s="1"/>
  <c r="C3" i="1"/>
  <c r="C31" i="1" s="1"/>
  <c r="J67" i="1"/>
  <c r="J47" i="1"/>
  <c r="J38" i="1"/>
  <c r="J33" i="1" s="1"/>
  <c r="E7" i="1"/>
  <c r="E70" i="1"/>
  <c r="E71" i="1"/>
  <c r="E15" i="1"/>
  <c r="C44" i="1"/>
  <c r="E44" i="1" s="1"/>
  <c r="C47" i="1"/>
  <c r="E73" i="1"/>
  <c r="E53" i="1"/>
  <c r="D34" i="1"/>
  <c r="B3" i="1"/>
  <c r="B31" i="1" s="1"/>
  <c r="C34" i="1"/>
  <c r="D38" i="1"/>
  <c r="D31" i="1"/>
  <c r="C68" i="1"/>
  <c r="E48" i="1"/>
  <c r="B47" i="1"/>
  <c r="E74" i="1"/>
  <c r="E75" i="1"/>
  <c r="E57" i="1"/>
  <c r="D47" i="1"/>
  <c r="D78" i="1"/>
  <c r="D68" i="1" s="1"/>
  <c r="D67" i="1" s="1"/>
  <c r="E56" i="1"/>
  <c r="E72" i="1"/>
  <c r="R92" i="1" l="1"/>
  <c r="R98" i="1"/>
  <c r="F92" i="1"/>
  <c r="E38" i="1"/>
  <c r="B90" i="1"/>
  <c r="B98" i="1" s="1"/>
  <c r="I67" i="1"/>
  <c r="C67" i="1"/>
  <c r="G67" i="1"/>
  <c r="H90" i="1"/>
  <c r="H98" i="1" s="1"/>
  <c r="I33" i="1"/>
  <c r="E3" i="1"/>
  <c r="G47" i="1"/>
  <c r="J90" i="1"/>
  <c r="E34" i="1"/>
  <c r="D33" i="1"/>
  <c r="D90" i="1" s="1"/>
  <c r="C33" i="1"/>
  <c r="E31" i="1"/>
  <c r="E47" i="1"/>
  <c r="E78" i="1"/>
  <c r="E68" i="1" s="1"/>
  <c r="E67" i="1" s="1"/>
  <c r="E33" i="1" l="1"/>
  <c r="G90" i="1"/>
  <c r="G92" i="1" s="1"/>
  <c r="C90" i="1"/>
  <c r="C98" i="1" s="1"/>
  <c r="I90" i="1"/>
  <c r="I92" i="1" s="1"/>
  <c r="H92" i="1"/>
  <c r="J92" i="1"/>
  <c r="J98" i="1"/>
  <c r="G98" i="1" l="1"/>
  <c r="E90" i="1"/>
  <c r="E98" i="1" s="1"/>
  <c r="I98" i="1"/>
  <c r="K48" i="1"/>
  <c r="K47" i="1" s="1"/>
  <c r="K90" i="1" s="1"/>
  <c r="K92" i="1" s="1"/>
  <c r="K98" i="1" s="1"/>
</calcChain>
</file>

<file path=xl/sharedStrings.xml><?xml version="1.0" encoding="utf-8"?>
<sst xmlns="http://schemas.openxmlformats.org/spreadsheetml/2006/main" count="137" uniqueCount="131">
  <si>
    <t>2023. év TERV</t>
  </si>
  <si>
    <t>2023. 1-8 havi tény</t>
  </si>
  <si>
    <t>2023 várható</t>
  </si>
  <si>
    <t>2023.</t>
  </si>
  <si>
    <t>2024. terv</t>
  </si>
  <si>
    <t>2024. tény</t>
  </si>
  <si>
    <t>várható</t>
  </si>
  <si>
    <t>Leírás</t>
  </si>
  <si>
    <t>9-12. hó</t>
  </si>
  <si>
    <t>összesen</t>
  </si>
  <si>
    <t>1-6 hó</t>
  </si>
  <si>
    <t>1-8 hó</t>
  </si>
  <si>
    <t>12 hó</t>
  </si>
  <si>
    <t>1. Iroda kiadás bevétele</t>
  </si>
  <si>
    <t>1/1. Iroda  bérlet és garázs kiadás</t>
  </si>
  <si>
    <t>1/2. terembérlet kiadás</t>
  </si>
  <si>
    <t>1/3. Siófok apartmanok</t>
  </si>
  <si>
    <t>2. Tagdíj bevételek</t>
  </si>
  <si>
    <t>2/2. Mérsékelt tagdíj (nyugdíjas, diák, gyermekápolási, munkanélküli)</t>
  </si>
  <si>
    <t xml:space="preserve"> </t>
  </si>
  <si>
    <t>2/3. Pártoló tagdíj</t>
  </si>
  <si>
    <t>2/4. Kedvezményes tagdíj (szociális alapon)</t>
  </si>
  <si>
    <t>2/5. Új tagok tagdíj</t>
  </si>
  <si>
    <t>2/6. Támogatói tagdíj (Patakpart H.E.)</t>
  </si>
  <si>
    <t>2/7. Visszalépők tagdíjpótléka</t>
  </si>
  <si>
    <t xml:space="preserve">3. Sajtófotó rendezvény bevétele </t>
  </si>
  <si>
    <t>3/1. rendezvény</t>
  </si>
  <si>
    <t>3/2. nevezési díj</t>
  </si>
  <si>
    <t>4. Fotóriporteri oktatás bevétele (tandíj) 2023/2024 és 2024/2025. évi  tanfolyam</t>
  </si>
  <si>
    <t>BEVÉTEL ÖSSZESEN</t>
  </si>
  <si>
    <t>KIADÁSOK személyi</t>
  </si>
  <si>
    <t>1. Alkalmazottak bére járulékokkal</t>
  </si>
  <si>
    <t>1/2. Alkalmazottak járuléka</t>
  </si>
  <si>
    <t>1/3. Elnök megbízási díja</t>
  </si>
  <si>
    <t>2. Vállalkozói díjak</t>
  </si>
  <si>
    <t>2/1. Honlapszerkesztő</t>
  </si>
  <si>
    <t>2/2. Könyvelő</t>
  </si>
  <si>
    <t>2/3. Ügyvéd</t>
  </si>
  <si>
    <t>2/4. Tűz és munkavédelem</t>
  </si>
  <si>
    <t>2/5. Rendszergazda</t>
  </si>
  <si>
    <t>3. Elnökségi térítések</t>
  </si>
  <si>
    <t>3/1. Reprezentációs költségek  és eseti ajándékok</t>
  </si>
  <si>
    <t>3/2. Kiküldetések</t>
  </si>
  <si>
    <t xml:space="preserve">4. Adminisztratív költségek </t>
  </si>
  <si>
    <t>4/1.  Küldöttgyűlés adminisztratív és technikai  költsége</t>
  </si>
  <si>
    <t>4/2.   Irodai ráfordítások (irodaszer)</t>
  </si>
  <si>
    <t>4/3.  Számítógépes programok éves díja</t>
  </si>
  <si>
    <t>4/4. Eseti felmerülő költségek</t>
  </si>
  <si>
    <t xml:space="preserve">5. Tagdíjhoz kapcsolódó kiadások </t>
  </si>
  <si>
    <t>5/1. Érvényesítő matricák díja</t>
  </si>
  <si>
    <t>5/2. fizetési felületek jutaléka</t>
  </si>
  <si>
    <t>6. Szakmai programok költsége</t>
  </si>
  <si>
    <t>7. Fotóriporteri iskola költsége</t>
  </si>
  <si>
    <t>7/2. Portaszolgálat (szombat)</t>
  </si>
  <si>
    <t>8. Újságíró iskola  költsége</t>
  </si>
  <si>
    <t>9. Sajtófotó rendezvény költsége</t>
  </si>
  <si>
    <t>10. Szakosztályi költség/pályázat</t>
  </si>
  <si>
    <t>11 . Sajtónap és Filmkritikusi Díjátadó nap</t>
  </si>
  <si>
    <t>12. Üdülési és szállástámogatás</t>
  </si>
  <si>
    <t xml:space="preserve">13. Szociális támogatás </t>
  </si>
  <si>
    <t xml:space="preserve">14. Tartalék alap </t>
  </si>
  <si>
    <t>KIADÁSOK Vörösmarty u. ingatlan</t>
  </si>
  <si>
    <t>15. Vörösmarty utcai székház rezsi</t>
  </si>
  <si>
    <t>15/1. Biztosítás</t>
  </si>
  <si>
    <t>15/2. Áram</t>
  </si>
  <si>
    <t>15/3. Gáz</t>
  </si>
  <si>
    <t>15/4. Víz, csatorna</t>
  </si>
  <si>
    <t>15/5. Szemét</t>
  </si>
  <si>
    <t>15/6. Portaszolgálat, vagyonvédelem, tűzvédelem</t>
  </si>
  <si>
    <t>15/7. Takarítás, tisztítószerek</t>
  </si>
  <si>
    <t>15/8. Légkondícionálás éves felülvizsgálat és javítások</t>
  </si>
  <si>
    <t>15/9. Posta ktg</t>
  </si>
  <si>
    <t>15/10. Vezetékes és mobiltelefon, internet, TV</t>
  </si>
  <si>
    <t>15/11. Bank</t>
  </si>
  <si>
    <t>16. Vörösmarty utcai székház beruházások, javítások</t>
  </si>
  <si>
    <t>16/1. Felvonó karbantartás, engedélyezés</t>
  </si>
  <si>
    <t>16/2. Ingatlanon végzett javítások és anyagai</t>
  </si>
  <si>
    <t>16/3. Beruházások, eszközvásárlások</t>
  </si>
  <si>
    <t>17. Vörösmarty utcai székház ingatlanadó</t>
  </si>
  <si>
    <t>18./ Bírság, kártérítés</t>
  </si>
  <si>
    <t>ÖSSZES KIADÁS</t>
  </si>
  <si>
    <t>Egyenleg</t>
  </si>
  <si>
    <t>Vörösmarty utcai székház értékcsökkenés</t>
  </si>
  <si>
    <t>Egyéb eszközök értékcsökkenése</t>
  </si>
  <si>
    <t>Arányos áfa le nem vonható része</t>
  </si>
  <si>
    <t>ÖSSZES BEVÉTEL-KIADÁS</t>
  </si>
  <si>
    <t xml:space="preserve">5. Újságíró iskola (+tanfolyamok) </t>
  </si>
  <si>
    <t>1/1. Alkalmazottak bére (1 fő 40 órás, 2 fő 30 órás, 1 fő 20 órás)</t>
  </si>
  <si>
    <t>2025 terv</t>
  </si>
  <si>
    <t xml:space="preserve"> PÉNZÜGYI TERV</t>
  </si>
  <si>
    <t>KIADÁSOK MÚOSZ tevékenység</t>
  </si>
  <si>
    <t>Pénz kivét</t>
  </si>
  <si>
    <t>5. hó 24.</t>
  </si>
  <si>
    <t>5. hó 31.</t>
  </si>
  <si>
    <t>apartman vásárlás</t>
  </si>
  <si>
    <t>különbözet</t>
  </si>
  <si>
    <t xml:space="preserve">Befektetés  hozamából </t>
  </si>
  <si>
    <t>A MÚOSZ bankszámláján kévő pénzeszközből</t>
  </si>
  <si>
    <t>A befektetés hozama + a különbözettel nőtt a MÚOSZ befektetése 131,5 millióval</t>
  </si>
  <si>
    <t>Portfólió kezelés</t>
  </si>
  <si>
    <t>6. Kapott kamat</t>
  </si>
  <si>
    <t>7. Egyéb bevételek (konferenciák, szponzorok, pályázatok)</t>
  </si>
  <si>
    <t>Magánsze. Tám.</t>
  </si>
  <si>
    <t>Lett P.</t>
  </si>
  <si>
    <t>EU-s P.</t>
  </si>
  <si>
    <t>Tárgyi eszk ért.</t>
  </si>
  <si>
    <t>19/5 EU-s pályázat</t>
  </si>
  <si>
    <t>jan.</t>
  </si>
  <si>
    <t>febr.</t>
  </si>
  <si>
    <t>márc</t>
  </si>
  <si>
    <t>ápr</t>
  </si>
  <si>
    <t>máj</t>
  </si>
  <si>
    <t>bér</t>
  </si>
  <si>
    <t>járulék</t>
  </si>
  <si>
    <t>Lett</t>
  </si>
  <si>
    <t>EU-s</t>
  </si>
  <si>
    <t>június</t>
  </si>
  <si>
    <t>július</t>
  </si>
  <si>
    <t>szept.</t>
  </si>
  <si>
    <t>auguszt.</t>
  </si>
  <si>
    <t>október</t>
  </si>
  <si>
    <t>november</t>
  </si>
  <si>
    <t>december</t>
  </si>
  <si>
    <t xml:space="preserve">19/1 Lett pályázat </t>
  </si>
  <si>
    <t>20/1 Siófok apartman</t>
  </si>
  <si>
    <t>Adott támogatás EU Újságíró Szöv.</t>
  </si>
  <si>
    <t>2/1. Tagok tagdíja</t>
  </si>
  <si>
    <t>2026 terv</t>
  </si>
  <si>
    <t>MMA</t>
  </si>
  <si>
    <t>áram továbbszla.</t>
  </si>
  <si>
    <t>8. befektetés hozamából kivét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</si>
</sst>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3" fontId="0" fillId="0" borderId="0" xfId="0" applyNumberFormat="1"/>
    <xf numFmtId="3" fontId="2" fillId="5" borderId="1" xfId="0" applyNumberFormat="1" applyFont="1" applyFill="1" applyBorder="1"/>
    <xf numFmtId="0" fontId="3" fillId="0" borderId="1" xfId="0" applyFont="1" applyBorder="1"/>
    <xf numFmtId="3" fontId="2" fillId="3" borderId="1" xfId="0" applyNumberFormat="1" applyFont="1" applyFill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3" fontId="3" fillId="3" borderId="6" xfId="0" applyNumberFormat="1" applyFont="1" applyFill="1" applyBorder="1" applyAlignment="1">
      <alignment horizontal="center" wrapText="1"/>
    </xf>
    <xf numFmtId="3" fontId="3" fillId="0" borderId="7" xfId="0" applyNumberFormat="1" applyFont="1" applyBorder="1"/>
    <xf numFmtId="3" fontId="3" fillId="0" borderId="6" xfId="0" applyNumberFormat="1" applyFont="1" applyBorder="1"/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3" fontId="3" fillId="0" borderId="7" xfId="0" applyNumberFormat="1" applyFont="1" applyBorder="1" applyAlignment="1">
      <alignment horizontal="center"/>
    </xf>
    <xf numFmtId="3" fontId="2" fillId="3" borderId="4" xfId="1" applyNumberFormat="1" applyFont="1" applyFill="1" applyBorder="1"/>
    <xf numFmtId="3" fontId="2" fillId="3" borderId="3" xfId="1" applyNumberFormat="1" applyFont="1" applyFill="1" applyBorder="1"/>
    <xf numFmtId="3" fontId="3" fillId="5" borderId="4" xfId="0" applyNumberFormat="1" applyFont="1" applyFill="1" applyBorder="1"/>
    <xf numFmtId="3" fontId="3" fillId="5" borderId="3" xfId="0" applyNumberFormat="1" applyFont="1" applyFill="1" applyBorder="1"/>
    <xf numFmtId="16" fontId="3" fillId="0" borderId="1" xfId="0" applyNumberFormat="1" applyFont="1" applyBorder="1"/>
    <xf numFmtId="3" fontId="3" fillId="3" borderId="1" xfId="1" applyNumberFormat="1" applyFont="1" applyFill="1" applyBorder="1"/>
    <xf numFmtId="3" fontId="3" fillId="3" borderId="1" xfId="0" applyNumberFormat="1" applyFont="1" applyFill="1" applyBorder="1"/>
    <xf numFmtId="3" fontId="3" fillId="0" borderId="5" xfId="0" applyNumberFormat="1" applyFont="1" applyBorder="1"/>
    <xf numFmtId="164" fontId="2" fillId="3" borderId="1" xfId="1" applyNumberFormat="1" applyFont="1" applyFill="1" applyBorder="1"/>
    <xf numFmtId="3" fontId="3" fillId="3" borderId="2" xfId="0" applyNumberFormat="1" applyFont="1" applyFill="1" applyBorder="1"/>
    <xf numFmtId="3" fontId="3" fillId="5" borderId="1" xfId="0" applyNumberFormat="1" applyFont="1" applyFill="1" applyBorder="1"/>
    <xf numFmtId="3" fontId="3" fillId="5" borderId="2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3" fontId="2" fillId="3" borderId="1" xfId="1" applyNumberFormat="1" applyFont="1" applyFill="1" applyBorder="1"/>
    <xf numFmtId="0" fontId="3" fillId="7" borderId="1" xfId="0" applyFont="1" applyFill="1" applyBorder="1"/>
    <xf numFmtId="164" fontId="2" fillId="6" borderId="1" xfId="1" applyNumberFormat="1" applyFont="1" applyFill="1" applyBorder="1"/>
    <xf numFmtId="3" fontId="2" fillId="6" borderId="2" xfId="0" applyNumberFormat="1" applyFont="1" applyFill="1" applyBorder="1"/>
    <xf numFmtId="3" fontId="2" fillId="6" borderId="1" xfId="0" applyNumberFormat="1" applyFont="1" applyFill="1" applyBorder="1"/>
    <xf numFmtId="3" fontId="3" fillId="7" borderId="1" xfId="0" applyNumberFormat="1" applyFont="1" applyFill="1" applyBorder="1"/>
    <xf numFmtId="3" fontId="3" fillId="7" borderId="2" xfId="0" applyNumberFormat="1" applyFont="1" applyFill="1" applyBorder="1"/>
    <xf numFmtId="3" fontId="2" fillId="7" borderId="1" xfId="0" applyNumberFormat="1" applyFont="1" applyFill="1" applyBorder="1"/>
    <xf numFmtId="0" fontId="3" fillId="4" borderId="1" xfId="0" applyFont="1" applyFill="1" applyBorder="1"/>
    <xf numFmtId="3" fontId="3" fillId="8" borderId="1" xfId="0" applyNumberFormat="1" applyFont="1" applyFill="1" applyBorder="1"/>
    <xf numFmtId="3" fontId="3" fillId="4" borderId="1" xfId="0" applyNumberFormat="1" applyFont="1" applyFill="1" applyBorder="1"/>
    <xf numFmtId="3" fontId="3" fillId="4" borderId="2" xfId="0" applyNumberFormat="1" applyFont="1" applyFill="1" applyBorder="1"/>
    <xf numFmtId="3" fontId="2" fillId="3" borderId="1" xfId="2" applyNumberFormat="1" applyFont="1" applyFill="1" applyBorder="1"/>
    <xf numFmtId="3" fontId="2" fillId="3" borderId="2" xfId="2" applyNumberFormat="1" applyFont="1" applyFill="1" applyBorder="1"/>
    <xf numFmtId="0" fontId="2" fillId="0" borderId="1" xfId="0" applyFont="1" applyBorder="1"/>
    <xf numFmtId="164" fontId="2" fillId="6" borderId="2" xfId="1" applyNumberFormat="1" applyFont="1" applyFill="1" applyBorder="1"/>
    <xf numFmtId="3" fontId="2" fillId="3" borderId="2" xfId="1" applyNumberFormat="1" applyFont="1" applyFill="1" applyBorder="1"/>
    <xf numFmtId="3" fontId="2" fillId="5" borderId="1" xfId="1" applyNumberFormat="1" applyFont="1" applyFill="1" applyBorder="1"/>
    <xf numFmtId="3" fontId="2" fillId="5" borderId="2" xfId="0" applyNumberFormat="1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3" fontId="4" fillId="7" borderId="1" xfId="0" applyNumberFormat="1" applyFont="1" applyFill="1" applyBorder="1"/>
    <xf numFmtId="3" fontId="2" fillId="7" borderId="2" xfId="0" applyNumberFormat="1" applyFont="1" applyFill="1" applyBorder="1"/>
    <xf numFmtId="164" fontId="2" fillId="7" borderId="1" xfId="0" applyNumberFormat="1" applyFont="1" applyFill="1" applyBorder="1"/>
    <xf numFmtId="164" fontId="2" fillId="7" borderId="2" xfId="0" applyNumberFormat="1" applyFont="1" applyFill="1" applyBorder="1"/>
    <xf numFmtId="3" fontId="3" fillId="0" borderId="4" xfId="0" applyNumberFormat="1" applyFont="1" applyBorder="1"/>
    <xf numFmtId="0" fontId="3" fillId="0" borderId="3" xfId="0" applyFont="1" applyBorder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0" fontId="3" fillId="5" borderId="1" xfId="0" applyFont="1" applyFill="1" applyBorder="1"/>
    <xf numFmtId="0" fontId="3" fillId="5" borderId="4" xfId="0" applyFont="1" applyFill="1" applyBorder="1"/>
    <xf numFmtId="3" fontId="5" fillId="0" borderId="0" xfId="0" applyNumberFormat="1" applyFont="1"/>
    <xf numFmtId="0" fontId="5" fillId="0" borderId="0" xfId="0" applyFont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5" borderId="3" xfId="0" applyNumberFormat="1" applyFont="1" applyFill="1" applyBorder="1"/>
    <xf numFmtId="3" fontId="2" fillId="4" borderId="2" xfId="0" applyNumberFormat="1" applyFont="1" applyFill="1" applyBorder="1"/>
    <xf numFmtId="3" fontId="0" fillId="0" borderId="1" xfId="0" applyNumberFormat="1" applyBorder="1"/>
    <xf numFmtId="3" fontId="0" fillId="0" borderId="6" xfId="0" applyNumberFormat="1" applyBorder="1"/>
    <xf numFmtId="3" fontId="2" fillId="0" borderId="1" xfId="0" applyNumberFormat="1" applyFont="1" applyBorder="1"/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0" fillId="5" borderId="1" xfId="0" applyNumberFormat="1" applyFill="1" applyBorder="1"/>
    <xf numFmtId="3" fontId="5" fillId="0" borderId="1" xfId="0" applyNumberFormat="1" applyFont="1" applyBorder="1" applyAlignment="1">
      <alignment horizontal="center"/>
    </xf>
    <xf numFmtId="3" fontId="0" fillId="0" borderId="9" xfId="0" applyNumberFormat="1" applyBorder="1"/>
    <xf numFmtId="3" fontId="2" fillId="5" borderId="10" xfId="0" applyNumberFormat="1" applyFont="1" applyFill="1" applyBorder="1"/>
    <xf numFmtId="3" fontId="2" fillId="4" borderId="1" xfId="0" applyNumberFormat="1" applyFont="1" applyFill="1" applyBorder="1"/>
    <xf numFmtId="0" fontId="3" fillId="0" borderId="4" xfId="0" applyFont="1" applyBorder="1"/>
    <xf numFmtId="3" fontId="3" fillId="0" borderId="3" xfId="0" applyNumberFormat="1" applyFont="1" applyBorder="1"/>
    <xf numFmtId="3" fontId="2" fillId="5" borderId="4" xfId="0" applyNumberFormat="1" applyFont="1" applyFill="1" applyBorder="1"/>
    <xf numFmtId="0" fontId="3" fillId="0" borderId="12" xfId="0" applyFont="1" applyBorder="1"/>
    <xf numFmtId="3" fontId="3" fillId="3" borderId="12" xfId="0" applyNumberFormat="1" applyFont="1" applyFill="1" applyBorder="1"/>
    <xf numFmtId="3" fontId="3" fillId="0" borderId="13" xfId="0" applyNumberFormat="1" applyFont="1" applyBorder="1"/>
    <xf numFmtId="3" fontId="3" fillId="0" borderId="12" xfId="0" applyNumberFormat="1" applyFont="1" applyBorder="1"/>
    <xf numFmtId="3" fontId="2" fillId="0" borderId="13" xfId="0" applyNumberFormat="1" applyFont="1" applyBorder="1"/>
    <xf numFmtId="3" fontId="0" fillId="0" borderId="12" xfId="0" applyNumberFormat="1" applyBorder="1"/>
    <xf numFmtId="3" fontId="0" fillId="0" borderId="14" xfId="0" applyNumberFormat="1" applyBorder="1"/>
    <xf numFmtId="0" fontId="0" fillId="0" borderId="14" xfId="0" applyBorder="1"/>
    <xf numFmtId="0" fontId="3" fillId="0" borderId="4" xfId="0" applyFont="1" applyBorder="1" applyAlignment="1">
      <alignment wrapText="1"/>
    </xf>
    <xf numFmtId="3" fontId="2" fillId="5" borderId="4" xfId="1" applyNumberFormat="1" applyFont="1" applyFill="1" applyBorder="1"/>
    <xf numFmtId="3" fontId="0" fillId="0" borderId="4" xfId="0" applyNumberFormat="1" applyBorder="1"/>
    <xf numFmtId="3" fontId="2" fillId="5" borderId="12" xfId="1" applyNumberFormat="1" applyFont="1" applyFill="1" applyBorder="1"/>
    <xf numFmtId="3" fontId="2" fillId="5" borderId="13" xfId="0" applyNumberFormat="1" applyFont="1" applyFill="1" applyBorder="1"/>
    <xf numFmtId="3" fontId="2" fillId="5" borderId="12" xfId="0" applyNumberFormat="1" applyFont="1" applyFill="1" applyBorder="1"/>
    <xf numFmtId="3" fontId="3" fillId="5" borderId="12" xfId="0" applyNumberFormat="1" applyFont="1" applyFill="1" applyBorder="1"/>
    <xf numFmtId="3" fontId="3" fillId="5" borderId="13" xfId="0" applyNumberFormat="1" applyFont="1" applyFill="1" applyBorder="1"/>
    <xf numFmtId="3" fontId="5" fillId="0" borderId="4" xfId="0" applyNumberFormat="1" applyFont="1" applyBorder="1"/>
    <xf numFmtId="0" fontId="2" fillId="4" borderId="12" xfId="0" applyFont="1" applyFill="1" applyBorder="1"/>
    <xf numFmtId="164" fontId="2" fillId="6" borderId="12" xfId="1" applyNumberFormat="1" applyFont="1" applyFill="1" applyBorder="1"/>
    <xf numFmtId="164" fontId="2" fillId="6" borderId="13" xfId="1" applyNumberFormat="1" applyFont="1" applyFill="1" applyBorder="1"/>
    <xf numFmtId="3" fontId="3" fillId="4" borderId="12" xfId="0" applyNumberFormat="1" applyFont="1" applyFill="1" applyBorder="1"/>
    <xf numFmtId="3" fontId="3" fillId="4" borderId="13" xfId="0" applyNumberFormat="1" applyFont="1" applyFill="1" applyBorder="1"/>
    <xf numFmtId="3" fontId="2" fillId="4" borderId="13" xfId="0" applyNumberFormat="1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164" fontId="3" fillId="4" borderId="3" xfId="1" applyNumberFormat="1" applyFont="1" applyFill="1" applyBorder="1"/>
    <xf numFmtId="3" fontId="3" fillId="4" borderId="4" xfId="0" applyNumberFormat="1" applyFont="1" applyFill="1" applyBorder="1"/>
    <xf numFmtId="3" fontId="3" fillId="4" borderId="3" xfId="0" applyNumberFormat="1" applyFont="1" applyFill="1" applyBorder="1"/>
    <xf numFmtId="3" fontId="2" fillId="4" borderId="3" xfId="0" applyNumberFormat="1" applyFont="1" applyFill="1" applyBorder="1"/>
    <xf numFmtId="0" fontId="3" fillId="0" borderId="11" xfId="0" applyFont="1" applyBorder="1"/>
    <xf numFmtId="3" fontId="2" fillId="5" borderId="11" xfId="1" applyNumberFormat="1" applyFont="1" applyFill="1" applyBorder="1"/>
    <xf numFmtId="3" fontId="3" fillId="5" borderId="15" xfId="0" applyNumberFormat="1" applyFont="1" applyFill="1" applyBorder="1"/>
    <xf numFmtId="3" fontId="3" fillId="5" borderId="11" xfId="0" applyNumberFormat="1" applyFont="1" applyFill="1" applyBorder="1"/>
    <xf numFmtId="3" fontId="2" fillId="5" borderId="15" xfId="0" applyNumberFormat="1" applyFont="1" applyFill="1" applyBorder="1"/>
    <xf numFmtId="3" fontId="2" fillId="5" borderId="11" xfId="0" applyNumberFormat="1" applyFont="1" applyFill="1" applyBorder="1"/>
    <xf numFmtId="0" fontId="3" fillId="0" borderId="16" xfId="0" applyFont="1" applyBorder="1"/>
    <xf numFmtId="3" fontId="2" fillId="3" borderId="16" xfId="1" applyNumberFormat="1" applyFont="1" applyFill="1" applyBorder="1"/>
    <xf numFmtId="3" fontId="3" fillId="0" borderId="17" xfId="0" applyNumberFormat="1" applyFont="1" applyBorder="1"/>
    <xf numFmtId="3" fontId="3" fillId="0" borderId="16" xfId="0" applyNumberFormat="1" applyFont="1" applyBorder="1"/>
    <xf numFmtId="3" fontId="3" fillId="5" borderId="16" xfId="0" applyNumberFormat="1" applyFont="1" applyFill="1" applyBorder="1"/>
    <xf numFmtId="3" fontId="3" fillId="5" borderId="17" xfId="0" applyNumberFormat="1" applyFont="1" applyFill="1" applyBorder="1"/>
    <xf numFmtId="3" fontId="2" fillId="5" borderId="17" xfId="0" applyNumberFormat="1" applyFont="1" applyFill="1" applyBorder="1"/>
    <xf numFmtId="3" fontId="2" fillId="5" borderId="16" xfId="0" applyNumberFormat="1" applyFont="1" applyFill="1" applyBorder="1"/>
    <xf numFmtId="3" fontId="0" fillId="5" borderId="18" xfId="0" applyNumberFormat="1" applyFill="1" applyBorder="1"/>
    <xf numFmtId="0" fontId="0" fillId="5" borderId="18" xfId="0" applyFill="1" applyBorder="1"/>
    <xf numFmtId="3" fontId="5" fillId="5" borderId="4" xfId="0" applyNumberFormat="1" applyFont="1" applyFill="1" applyBorder="1"/>
    <xf numFmtId="3" fontId="5" fillId="5" borderId="1" xfId="0" applyNumberFormat="1" applyFont="1" applyFill="1" applyBorder="1"/>
    <xf numFmtId="3" fontId="0" fillId="5" borderId="4" xfId="0" applyNumberFormat="1" applyFill="1" applyBorder="1"/>
    <xf numFmtId="3" fontId="2" fillId="4" borderId="4" xfId="0" applyNumberFormat="1" applyFont="1" applyFill="1" applyBorder="1"/>
    <xf numFmtId="3" fontId="5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9" xfId="0" applyBorder="1"/>
    <xf numFmtId="3" fontId="0" fillId="0" borderId="19" xfId="0" applyNumberFormat="1" applyBorder="1"/>
    <xf numFmtId="3" fontId="0" fillId="3" borderId="0" xfId="0" applyNumberFormat="1" applyFill="1"/>
    <xf numFmtId="3" fontId="3" fillId="8" borderId="0" xfId="0" applyNumberFormat="1" applyFont="1" applyFill="1"/>
    <xf numFmtId="3" fontId="3" fillId="7" borderId="0" xfId="0" applyNumberFormat="1" applyFont="1" applyFill="1"/>
    <xf numFmtId="3" fontId="2" fillId="3" borderId="0" xfId="0" applyNumberFormat="1" applyFont="1" applyFill="1"/>
    <xf numFmtId="3" fontId="0" fillId="5" borderId="20" xfId="0" applyNumberFormat="1" applyFill="1" applyBorder="1"/>
    <xf numFmtId="3" fontId="2" fillId="4" borderId="21" xfId="0" applyNumberFormat="1" applyFont="1" applyFill="1" applyBorder="1"/>
    <xf numFmtId="0" fontId="0" fillId="0" borderId="22" xfId="0" applyBorder="1"/>
    <xf numFmtId="3" fontId="0" fillId="0" borderId="22" xfId="0" applyNumberForma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Ezres" xfId="1" builtinId="3"/>
    <cellStyle name="Ezres 2" xfId="2" xr:uid="{E9A492AB-9209-4719-8BA6-B2E11B46ADD2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K&#246;lts&#233;gvet&#233;sek%20tervez&#233;sse\2024\T&#233;ny_1-6_2024.xlsx" TargetMode="External"/><Relationship Id="rId1" Type="http://schemas.openxmlformats.org/officeDocument/2006/relationships/externalLinkPath" Target="file:///G:\K&#246;lts&#233;gvet&#233;sek%20tervez&#233;sse\2024\T&#233;ny_1-6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. 1-6 hó"/>
      <sheetName val="2"/>
      <sheetName val="3-4"/>
      <sheetName val="5-8"/>
      <sheetName val="9-14"/>
      <sheetName val="15-20"/>
      <sheetName val="Munka6"/>
    </sheetNames>
    <sheetDataSet>
      <sheetData sheetId="0"/>
      <sheetData sheetId="1">
        <row r="3">
          <cell r="A3">
            <v>1200000</v>
          </cell>
          <cell r="E3">
            <v>1259452.7559055118</v>
          </cell>
          <cell r="G3">
            <v>1885000</v>
          </cell>
          <cell r="J3">
            <v>205800</v>
          </cell>
        </row>
      </sheetData>
      <sheetData sheetId="2">
        <row r="3">
          <cell r="A3">
            <v>75266.14173228346</v>
          </cell>
          <cell r="G3">
            <v>12748.031496062991</v>
          </cell>
          <cell r="J3">
            <v>302130.7086614173</v>
          </cell>
          <cell r="M3">
            <v>688756.43044619414</v>
          </cell>
          <cell r="P3">
            <v>168828.26771653543</v>
          </cell>
        </row>
      </sheetData>
      <sheetData sheetId="3">
        <row r="3">
          <cell r="A3">
            <v>214237.79527559056</v>
          </cell>
          <cell r="D3">
            <v>59888.188976377955</v>
          </cell>
          <cell r="G3">
            <v>590937.00787401572</v>
          </cell>
          <cell r="J3">
            <v>1861500</v>
          </cell>
          <cell r="P3">
            <v>3835994.7349081365</v>
          </cell>
        </row>
      </sheetData>
      <sheetData sheetId="4">
        <row r="3">
          <cell r="A3">
            <v>11342057.480314961</v>
          </cell>
          <cell r="D3">
            <v>51181.889763779531</v>
          </cell>
          <cell r="G3">
            <v>1144401.1023622043</v>
          </cell>
          <cell r="J3">
            <v>20000</v>
          </cell>
        </row>
      </sheetData>
      <sheetData sheetId="5">
        <row r="3">
          <cell r="A3">
            <v>158022</v>
          </cell>
          <cell r="D3">
            <v>3342293.7007874018</v>
          </cell>
          <cell r="G3">
            <v>5172140.94488189</v>
          </cell>
          <cell r="J3">
            <v>877358.26771653537</v>
          </cell>
          <cell r="M3">
            <v>59156.828193832596</v>
          </cell>
          <cell r="P3">
            <v>4230546.4566929135</v>
          </cell>
          <cell r="S3">
            <v>1700000</v>
          </cell>
          <cell r="V3">
            <v>170000</v>
          </cell>
          <cell r="X3">
            <v>377090.55118110235</v>
          </cell>
        </row>
        <row r="25">
          <cell r="A25">
            <v>511583.46456692915</v>
          </cell>
          <cell r="G25">
            <v>597634.64566929138</v>
          </cell>
          <cell r="J25">
            <v>354777.16535433067</v>
          </cell>
          <cell r="M25">
            <v>2195656.6929133856</v>
          </cell>
          <cell r="P25">
            <v>121036.22047244094</v>
          </cell>
          <cell r="S25">
            <v>942000</v>
          </cell>
          <cell r="X25">
            <v>1340743.3070866142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4DFB-4435-47E1-8C2D-A06502DAB572}">
  <dimension ref="A1:T100"/>
  <sheetViews>
    <sheetView tabSelected="1" topLeftCell="A30" workbookViewId="0">
      <selection activeCell="J60" sqref="J60"/>
    </sheetView>
  </sheetViews>
  <sheetFormatPr defaultRowHeight="15" x14ac:dyDescent="0.25"/>
  <cols>
    <col min="1" max="1" width="51.28515625" style="57" bestFit="1" customWidth="1"/>
    <col min="2" max="2" width="15.85546875" style="57" hidden="1" customWidth="1"/>
    <col min="3" max="3" width="16.85546875" style="58" hidden="1" customWidth="1"/>
    <col min="4" max="5" width="12.140625" style="58" hidden="1" customWidth="1"/>
    <col min="6" max="6" width="14.7109375" style="58" hidden="1" customWidth="1"/>
    <col min="7" max="7" width="12.5703125" style="57" hidden="1" customWidth="1"/>
    <col min="8" max="8" width="11.85546875" style="57" hidden="1" customWidth="1"/>
    <col min="9" max="9" width="11.140625" style="58" hidden="1" customWidth="1"/>
    <col min="10" max="10" width="12.85546875" style="59" customWidth="1"/>
    <col min="11" max="11" width="13.140625" style="1" customWidth="1"/>
    <col min="12" max="12" width="10.85546875" hidden="1" customWidth="1"/>
    <col min="13" max="13" width="9.85546875" style="1" hidden="1" customWidth="1"/>
    <col min="14" max="14" width="0" style="1" hidden="1" customWidth="1"/>
    <col min="15" max="15" width="10" style="1" hidden="1" customWidth="1"/>
    <col min="16" max="16" width="9.85546875" style="1" hidden="1" customWidth="1"/>
    <col min="17" max="17" width="0" style="1" hidden="1" customWidth="1"/>
    <col min="18" max="18" width="13.140625" style="1" customWidth="1"/>
    <col min="20" max="20" width="9.85546875" style="1" bestFit="1" customWidth="1"/>
  </cols>
  <sheetData>
    <row r="1" spans="1:20" x14ac:dyDescent="0.25">
      <c r="A1" s="3" t="s">
        <v>89</v>
      </c>
      <c r="B1" s="4" t="s">
        <v>0</v>
      </c>
      <c r="C1" s="5" t="s">
        <v>1</v>
      </c>
      <c r="D1" s="6" t="s">
        <v>2</v>
      </c>
      <c r="E1" s="6" t="s">
        <v>3</v>
      </c>
      <c r="F1" s="7" t="s">
        <v>4</v>
      </c>
      <c r="G1" s="143" t="s">
        <v>5</v>
      </c>
      <c r="H1" s="144"/>
      <c r="I1" s="8" t="s">
        <v>6</v>
      </c>
      <c r="J1" s="64" t="s">
        <v>88</v>
      </c>
      <c r="K1" s="75">
        <v>2025</v>
      </c>
      <c r="L1" s="133"/>
      <c r="M1" s="134"/>
      <c r="N1" s="134"/>
      <c r="O1" s="134"/>
      <c r="P1" s="134"/>
      <c r="Q1" s="134"/>
      <c r="R1" s="75" t="s">
        <v>127</v>
      </c>
    </row>
    <row r="2" spans="1:20" ht="15.75" thickBot="1" x14ac:dyDescent="0.3">
      <c r="A2" s="9" t="s">
        <v>7</v>
      </c>
      <c r="B2" s="10"/>
      <c r="C2" s="11"/>
      <c r="D2" s="12" t="s">
        <v>8</v>
      </c>
      <c r="E2" s="12" t="s">
        <v>9</v>
      </c>
      <c r="F2" s="12"/>
      <c r="G2" s="13" t="s">
        <v>10</v>
      </c>
      <c r="H2" s="14" t="s">
        <v>11</v>
      </c>
      <c r="I2" s="15" t="s">
        <v>12</v>
      </c>
      <c r="J2" s="65"/>
      <c r="K2" s="131" t="s">
        <v>6</v>
      </c>
      <c r="R2" s="69"/>
    </row>
    <row r="3" spans="1:20" ht="15.75" thickTop="1" x14ac:dyDescent="0.25">
      <c r="A3" s="61" t="s">
        <v>13</v>
      </c>
      <c r="B3" s="16">
        <f>SUM(B4:B5)</f>
        <v>45816000</v>
      </c>
      <c r="C3" s="17">
        <f>SUM(C4:C5)</f>
        <v>32725237</v>
      </c>
      <c r="D3" s="16">
        <f>SUM(D4:D5)</f>
        <v>16184888</v>
      </c>
      <c r="E3" s="18">
        <f>C3+D3</f>
        <v>48910125</v>
      </c>
      <c r="F3" s="18">
        <f>SUM(F4:F5)</f>
        <v>53000000</v>
      </c>
      <c r="G3" s="18">
        <f>SUM(G4:G5)</f>
        <v>27908000</v>
      </c>
      <c r="H3" s="19">
        <f t="shared" ref="H3:J3" si="0">SUM(H4:H6)</f>
        <v>39630948</v>
      </c>
      <c r="I3" s="19">
        <f t="shared" si="0"/>
        <v>58497750</v>
      </c>
      <c r="J3" s="66">
        <f t="shared" si="0"/>
        <v>58900000</v>
      </c>
      <c r="K3" s="81">
        <f>SUM(K4:K6)</f>
        <v>67604198.5</v>
      </c>
      <c r="R3" s="77">
        <f>SUM(R4:R6)</f>
        <v>70732568.349999994</v>
      </c>
      <c r="T3"/>
    </row>
    <row r="4" spans="1:20" x14ac:dyDescent="0.25">
      <c r="A4" s="20" t="s">
        <v>14</v>
      </c>
      <c r="B4" s="21">
        <f>3548000*12</f>
        <v>42576000</v>
      </c>
      <c r="C4" s="5">
        <f>28466340+683664</f>
        <v>29150004</v>
      </c>
      <c r="D4" s="6">
        <f>3659888+4075000*3</f>
        <v>15884888</v>
      </c>
      <c r="E4" s="6"/>
      <c r="F4" s="6">
        <v>50000000</v>
      </c>
      <c r="G4" s="6">
        <f>23683000+960000</f>
        <v>24643000</v>
      </c>
      <c r="H4" s="5">
        <f>32289000+1290000</f>
        <v>33579000</v>
      </c>
      <c r="I4" s="5">
        <f>H4/8*12</f>
        <v>50368500</v>
      </c>
      <c r="J4" s="64">
        <v>50000000</v>
      </c>
      <c r="K4" s="68">
        <v>52641000</v>
      </c>
      <c r="R4" s="68">
        <f>K4*1.05</f>
        <v>55273050</v>
      </c>
      <c r="T4"/>
    </row>
    <row r="5" spans="1:20" x14ac:dyDescent="0.25">
      <c r="A5" s="3" t="s">
        <v>15</v>
      </c>
      <c r="B5" s="22">
        <f>800000+2440000</f>
        <v>3240000</v>
      </c>
      <c r="C5" s="5">
        <f>3433000+142233</f>
        <v>3575233</v>
      </c>
      <c r="D5" s="6">
        <v>300000</v>
      </c>
      <c r="E5" s="6"/>
      <c r="F5" s="6">
        <v>3000000</v>
      </c>
      <c r="G5" s="6">
        <v>3265000</v>
      </c>
      <c r="H5" s="5">
        <v>3459500</v>
      </c>
      <c r="I5" s="5">
        <f>H5/8*12</f>
        <v>5189250</v>
      </c>
      <c r="J5" s="64">
        <v>4000000</v>
      </c>
      <c r="K5" s="68">
        <v>8128000</v>
      </c>
      <c r="R5" s="68">
        <f>K5*1.1-1000000</f>
        <v>7940800</v>
      </c>
      <c r="T5"/>
    </row>
    <row r="6" spans="1:20" x14ac:dyDescent="0.25">
      <c r="A6" s="3" t="s">
        <v>16</v>
      </c>
      <c r="B6" s="22"/>
      <c r="C6" s="5"/>
      <c r="D6" s="6"/>
      <c r="E6" s="6"/>
      <c r="F6" s="6"/>
      <c r="G6" s="6">
        <v>2592448</v>
      </c>
      <c r="H6" s="23">
        <v>2592448</v>
      </c>
      <c r="I6" s="5">
        <f>347552+H6</f>
        <v>2940000</v>
      </c>
      <c r="J6" s="64">
        <f>I6/3*5</f>
        <v>4900000</v>
      </c>
      <c r="K6" s="68">
        <v>6835198.5</v>
      </c>
      <c r="R6" s="68">
        <f>K6*1.1</f>
        <v>7518718.3500000006</v>
      </c>
      <c r="T6"/>
    </row>
    <row r="7" spans="1:20" x14ac:dyDescent="0.25">
      <c r="A7" s="60" t="s">
        <v>17</v>
      </c>
      <c r="B7" s="24">
        <f>SUM(B8:B14)</f>
        <v>30700000</v>
      </c>
      <c r="C7" s="25">
        <f>C8+C10</f>
        <v>25735471</v>
      </c>
      <c r="D7" s="22">
        <f>SUM(D8:D14)</f>
        <v>600000</v>
      </c>
      <c r="E7" s="26">
        <f>C7+D7</f>
        <v>26335471</v>
      </c>
      <c r="F7" s="26">
        <f t="shared" ref="F7:J7" si="1">SUM(F8:F14)</f>
        <v>30600000</v>
      </c>
      <c r="G7" s="26">
        <f t="shared" si="1"/>
        <v>23680000</v>
      </c>
      <c r="H7" s="27">
        <f t="shared" si="1"/>
        <v>24916650</v>
      </c>
      <c r="I7" s="27">
        <f t="shared" si="1"/>
        <v>25416650</v>
      </c>
      <c r="J7" s="48">
        <f t="shared" si="1"/>
        <v>25420000</v>
      </c>
      <c r="K7" s="2">
        <f>SUM(K8:K13)</f>
        <v>25420000</v>
      </c>
      <c r="R7" s="2">
        <f t="shared" ref="R7" si="2">SUM(R8:R14)</f>
        <v>25441000</v>
      </c>
    </row>
    <row r="8" spans="1:20" x14ac:dyDescent="0.25">
      <c r="A8" s="20" t="s">
        <v>126</v>
      </c>
      <c r="B8" s="22">
        <v>18000000</v>
      </c>
      <c r="C8" s="5">
        <v>25572071</v>
      </c>
      <c r="D8" s="6">
        <v>300000</v>
      </c>
      <c r="E8" s="6">
        <f>C8+D8</f>
        <v>25872071</v>
      </c>
      <c r="F8" s="6">
        <v>18000000</v>
      </c>
      <c r="G8" s="6">
        <f>23680000-400000</f>
        <v>23280000</v>
      </c>
      <c r="H8" s="23">
        <v>24516650</v>
      </c>
      <c r="I8" s="5">
        <f>H8+500000</f>
        <v>25016650</v>
      </c>
      <c r="J8" s="64">
        <v>25000000</v>
      </c>
      <c r="K8" s="68">
        <v>25000000</v>
      </c>
      <c r="R8" s="68">
        <v>25000000</v>
      </c>
    </row>
    <row r="9" spans="1:20" ht="30" hidden="1" x14ac:dyDescent="0.25">
      <c r="A9" s="28" t="s">
        <v>18</v>
      </c>
      <c r="B9" s="22">
        <v>11000000</v>
      </c>
      <c r="C9" s="5"/>
      <c r="D9" s="6" t="s">
        <v>19</v>
      </c>
      <c r="E9" s="6"/>
      <c r="F9" s="6">
        <v>11300000</v>
      </c>
      <c r="G9" s="6"/>
      <c r="H9" s="29"/>
      <c r="I9" s="5"/>
      <c r="J9" s="64"/>
      <c r="K9" s="68"/>
      <c r="R9" s="68"/>
    </row>
    <row r="10" spans="1:20" hidden="1" x14ac:dyDescent="0.25">
      <c r="A10" s="20" t="s">
        <v>20</v>
      </c>
      <c r="B10" s="22">
        <v>300000</v>
      </c>
      <c r="C10" s="5">
        <v>163400</v>
      </c>
      <c r="D10" s="6"/>
      <c r="E10" s="6">
        <f>C10+D10</f>
        <v>163400</v>
      </c>
      <c r="F10" s="6">
        <v>200000</v>
      </c>
      <c r="G10" s="6"/>
      <c r="H10" s="29"/>
      <c r="I10" s="5"/>
      <c r="J10" s="64"/>
      <c r="K10" s="68"/>
      <c r="R10" s="68"/>
    </row>
    <row r="11" spans="1:20" hidden="1" x14ac:dyDescent="0.25">
      <c r="A11" s="20" t="s">
        <v>21</v>
      </c>
      <c r="B11" s="22">
        <v>100000</v>
      </c>
      <c r="C11" s="5"/>
      <c r="D11" s="6"/>
      <c r="E11" s="6"/>
      <c r="F11" s="6">
        <v>100000</v>
      </c>
      <c r="G11" s="6"/>
      <c r="H11" s="29"/>
      <c r="I11" s="5"/>
      <c r="J11" s="64"/>
      <c r="K11" s="68"/>
      <c r="R11" s="68"/>
    </row>
    <row r="12" spans="1:20" hidden="1" x14ac:dyDescent="0.25">
      <c r="A12" s="20" t="s">
        <v>22</v>
      </c>
      <c r="B12" s="22">
        <v>700000</v>
      </c>
      <c r="C12" s="5"/>
      <c r="D12" s="6"/>
      <c r="E12" s="6"/>
      <c r="F12" s="6">
        <v>700000</v>
      </c>
      <c r="G12" s="6"/>
      <c r="H12" s="29"/>
      <c r="I12" s="5"/>
      <c r="J12" s="64"/>
      <c r="K12" s="68"/>
      <c r="R12" s="68"/>
    </row>
    <row r="13" spans="1:20" x14ac:dyDescent="0.25">
      <c r="A13" s="20" t="s">
        <v>23</v>
      </c>
      <c r="B13" s="22">
        <v>300000</v>
      </c>
      <c r="C13" s="5"/>
      <c r="D13" s="6">
        <v>300000</v>
      </c>
      <c r="E13" s="6">
        <f>300000+C13</f>
        <v>300000</v>
      </c>
      <c r="F13" s="6">
        <v>300000</v>
      </c>
      <c r="G13" s="6">
        <v>400000</v>
      </c>
      <c r="H13" s="5">
        <v>400000</v>
      </c>
      <c r="I13" s="5">
        <v>400000</v>
      </c>
      <c r="J13" s="64">
        <v>420000</v>
      </c>
      <c r="K13" s="68">
        <v>420000</v>
      </c>
      <c r="R13" s="68">
        <f>K13*1.05</f>
        <v>441000</v>
      </c>
    </row>
    <row r="14" spans="1:20" hidden="1" x14ac:dyDescent="0.25">
      <c r="A14" s="3" t="s">
        <v>24</v>
      </c>
      <c r="B14" s="22">
        <v>300000</v>
      </c>
      <c r="C14" s="5"/>
      <c r="D14" s="6"/>
      <c r="E14" s="6"/>
      <c r="F14" s="6"/>
      <c r="G14" s="6"/>
      <c r="H14" s="29"/>
      <c r="I14" s="5"/>
      <c r="J14" s="64"/>
      <c r="K14" s="68"/>
      <c r="R14" s="68"/>
    </row>
    <row r="15" spans="1:20" x14ac:dyDescent="0.25">
      <c r="A15" s="60" t="s">
        <v>25</v>
      </c>
      <c r="B15" s="30">
        <v>11000000</v>
      </c>
      <c r="C15" s="25">
        <f>C17+C16</f>
        <v>19550868</v>
      </c>
      <c r="D15" s="22">
        <f>D17+D16</f>
        <v>300000</v>
      </c>
      <c r="E15" s="26">
        <f>C15+D15</f>
        <v>19850868</v>
      </c>
      <c r="F15" s="26">
        <v>18000000</v>
      </c>
      <c r="G15" s="26">
        <f>G16+G17</f>
        <v>14092104</v>
      </c>
      <c r="H15" s="27">
        <f>H16+H17</f>
        <v>14292104</v>
      </c>
      <c r="I15" s="27">
        <f>I16+I17</f>
        <v>15831000</v>
      </c>
      <c r="J15" s="48">
        <f>J16+J17</f>
        <v>16000000</v>
      </c>
      <c r="K15" s="2">
        <f>SUM(K16:K17)</f>
        <v>18763860</v>
      </c>
      <c r="R15" s="2">
        <f>SUM(R16:R17)</f>
        <v>19063860</v>
      </c>
    </row>
    <row r="16" spans="1:20" x14ac:dyDescent="0.25">
      <c r="A16" s="3" t="s">
        <v>26</v>
      </c>
      <c r="B16" s="30"/>
      <c r="C16" s="5">
        <f>4248346+1600000</f>
        <v>5848346</v>
      </c>
      <c r="D16" s="6">
        <v>300000</v>
      </c>
      <c r="E16" s="6"/>
      <c r="F16" s="6"/>
      <c r="G16" s="6">
        <f>12720000+210000+1162104</f>
        <v>14092104</v>
      </c>
      <c r="H16" s="5">
        <f>13130000+1162104</f>
        <v>14292104</v>
      </c>
      <c r="I16" s="5">
        <v>15831000</v>
      </c>
      <c r="J16" s="64">
        <v>16000000</v>
      </c>
      <c r="K16" s="68">
        <v>17200000</v>
      </c>
      <c r="R16" s="68">
        <v>17500000</v>
      </c>
    </row>
    <row r="17" spans="1:18" x14ac:dyDescent="0.25">
      <c r="A17" s="3" t="s">
        <v>27</v>
      </c>
      <c r="B17" s="30"/>
      <c r="C17" s="5">
        <v>13702522</v>
      </c>
      <c r="D17" s="6">
        <v>0</v>
      </c>
      <c r="E17" s="6"/>
      <c r="F17" s="6"/>
      <c r="G17" s="6"/>
      <c r="H17" s="5"/>
      <c r="I17" s="5"/>
      <c r="J17" s="64"/>
      <c r="K17" s="68">
        <v>1563860</v>
      </c>
      <c r="R17" s="68">
        <v>1563860</v>
      </c>
    </row>
    <row r="18" spans="1:18" ht="30" x14ac:dyDescent="0.25">
      <c r="A18" s="28" t="s">
        <v>28</v>
      </c>
      <c r="B18" s="30">
        <v>5200000</v>
      </c>
      <c r="C18" s="25">
        <v>4240400</v>
      </c>
      <c r="D18" s="22">
        <v>1000000</v>
      </c>
      <c r="E18" s="26">
        <f>C18+D18</f>
        <v>5240400</v>
      </c>
      <c r="F18" s="26">
        <v>5200000</v>
      </c>
      <c r="G18" s="26">
        <f>2626457</f>
        <v>2626457</v>
      </c>
      <c r="H18" s="27">
        <f>8536629-H19</f>
        <v>3016629</v>
      </c>
      <c r="I18" s="27">
        <f>8536629-H19+2000000</f>
        <v>5016629</v>
      </c>
      <c r="J18" s="48">
        <v>5200000</v>
      </c>
      <c r="K18" s="128">
        <v>18874841</v>
      </c>
      <c r="R18" s="2">
        <v>6200000</v>
      </c>
    </row>
    <row r="19" spans="1:18" x14ac:dyDescent="0.25">
      <c r="A19" s="3" t="s">
        <v>86</v>
      </c>
      <c r="B19" s="30">
        <v>9000000</v>
      </c>
      <c r="C19" s="25">
        <v>3180000</v>
      </c>
      <c r="D19" s="22">
        <v>5000000</v>
      </c>
      <c r="E19" s="26">
        <f>C19+D19</f>
        <v>8180000</v>
      </c>
      <c r="F19" s="26">
        <v>10000000</v>
      </c>
      <c r="G19" s="26">
        <v>5805172</v>
      </c>
      <c r="H19" s="27">
        <v>5520000</v>
      </c>
      <c r="I19" s="27">
        <f>5520001+7714286</f>
        <v>13234287</v>
      </c>
      <c r="J19" s="48">
        <v>10000000</v>
      </c>
      <c r="K19" s="2"/>
      <c r="R19" s="2">
        <v>10000000</v>
      </c>
    </row>
    <row r="20" spans="1:18" x14ac:dyDescent="0.25">
      <c r="A20" s="3" t="s">
        <v>100</v>
      </c>
      <c r="B20" s="30">
        <v>0</v>
      </c>
      <c r="C20" s="5"/>
      <c r="D20" s="6"/>
      <c r="E20" s="6"/>
      <c r="F20" s="6">
        <v>0</v>
      </c>
      <c r="G20" s="6">
        <v>0</v>
      </c>
      <c r="H20" s="5"/>
      <c r="I20" s="5">
        <v>1200000</v>
      </c>
      <c r="J20" s="64">
        <v>1000000</v>
      </c>
      <c r="K20" s="68">
        <v>264540</v>
      </c>
      <c r="R20" s="74">
        <v>264540</v>
      </c>
    </row>
    <row r="21" spans="1:18" x14ac:dyDescent="0.25">
      <c r="A21" s="3" t="s">
        <v>101</v>
      </c>
      <c r="B21" s="30">
        <v>0</v>
      </c>
      <c r="C21" s="25">
        <f>142233+1666+5705000</f>
        <v>5848899</v>
      </c>
      <c r="D21" s="6">
        <v>0</v>
      </c>
      <c r="E21" s="26">
        <f>C21+D21</f>
        <v>5848899</v>
      </c>
      <c r="F21" s="6">
        <v>0</v>
      </c>
      <c r="G21" s="6">
        <v>8966379</v>
      </c>
      <c r="H21" s="5">
        <v>8966379</v>
      </c>
      <c r="I21" s="5">
        <f>(17000*385)+H21+6000000</f>
        <v>21511379</v>
      </c>
      <c r="J21" s="64">
        <f>46800000+7000000+23000000</f>
        <v>76800000</v>
      </c>
      <c r="K21" s="68">
        <v>4169480</v>
      </c>
      <c r="R21" s="74">
        <v>0</v>
      </c>
    </row>
    <row r="22" spans="1:18" x14ac:dyDescent="0.25">
      <c r="A22" s="71">
        <v>0.01</v>
      </c>
      <c r="B22" s="3"/>
      <c r="C22" s="6"/>
      <c r="D22" s="6"/>
      <c r="E22" s="6"/>
      <c r="F22" s="6"/>
      <c r="G22" s="3"/>
      <c r="H22" s="3"/>
      <c r="I22" s="6"/>
      <c r="J22" s="70"/>
      <c r="K22" s="68">
        <v>25000</v>
      </c>
      <c r="R22" s="74">
        <v>30000</v>
      </c>
    </row>
    <row r="23" spans="1:18" x14ac:dyDescent="0.25">
      <c r="A23" s="72" t="s">
        <v>105</v>
      </c>
      <c r="B23" s="30"/>
      <c r="C23" s="25"/>
      <c r="D23" s="6"/>
      <c r="E23" s="26"/>
      <c r="F23" s="6"/>
      <c r="G23" s="6"/>
      <c r="H23" s="5"/>
      <c r="I23" s="5"/>
      <c r="J23" s="64"/>
      <c r="K23" s="68">
        <v>23622</v>
      </c>
      <c r="R23" s="74">
        <v>0</v>
      </c>
    </row>
    <row r="24" spans="1:18" x14ac:dyDescent="0.25">
      <c r="A24" s="72" t="s">
        <v>102</v>
      </c>
      <c r="B24" s="30"/>
      <c r="C24" s="25"/>
      <c r="D24" s="6"/>
      <c r="E24" s="26"/>
      <c r="F24" s="6"/>
      <c r="G24" s="6"/>
      <c r="H24" s="5"/>
      <c r="I24" s="5"/>
      <c r="J24" s="64"/>
      <c r="K24" s="68">
        <v>18300</v>
      </c>
      <c r="R24" s="74">
        <v>20000</v>
      </c>
    </row>
    <row r="25" spans="1:18" x14ac:dyDescent="0.25">
      <c r="A25" s="72" t="s">
        <v>129</v>
      </c>
      <c r="B25" s="30"/>
      <c r="C25" s="25"/>
      <c r="D25" s="6"/>
      <c r="E25" s="26"/>
      <c r="F25" s="6"/>
      <c r="G25" s="6"/>
      <c r="H25" s="5"/>
      <c r="I25" s="5"/>
      <c r="J25" s="64"/>
      <c r="K25" s="68">
        <v>600000</v>
      </c>
      <c r="R25" s="74"/>
    </row>
    <row r="26" spans="1:18" x14ac:dyDescent="0.25">
      <c r="A26" s="72" t="s">
        <v>103</v>
      </c>
      <c r="B26" s="30"/>
      <c r="C26" s="25"/>
      <c r="D26" s="6"/>
      <c r="E26" s="26"/>
      <c r="F26" s="6"/>
      <c r="G26" s="6"/>
      <c r="H26" s="5"/>
      <c r="I26" s="5"/>
      <c r="J26" s="64"/>
      <c r="K26" s="68">
        <v>27585210</v>
      </c>
      <c r="R26" s="74">
        <v>0</v>
      </c>
    </row>
    <row r="27" spans="1:18" x14ac:dyDescent="0.25">
      <c r="A27" s="72" t="s">
        <v>104</v>
      </c>
      <c r="B27" s="30"/>
      <c r="C27" s="25"/>
      <c r="D27" s="6"/>
      <c r="E27" s="26"/>
      <c r="F27" s="6"/>
      <c r="G27" s="6"/>
      <c r="H27" s="5"/>
      <c r="I27" s="5"/>
      <c r="J27" s="64"/>
      <c r="K27" s="68">
        <v>43674528</v>
      </c>
      <c r="R27" s="74">
        <v>0</v>
      </c>
    </row>
    <row r="28" spans="1:18" x14ac:dyDescent="0.25">
      <c r="A28" s="72"/>
      <c r="B28" s="30"/>
      <c r="C28" s="25"/>
      <c r="D28" s="6"/>
      <c r="E28" s="26"/>
      <c r="F28" s="6"/>
      <c r="G28" s="6"/>
      <c r="H28" s="5"/>
      <c r="I28" s="5"/>
      <c r="J28" s="64"/>
      <c r="K28" s="68"/>
      <c r="R28" s="74">
        <v>0</v>
      </c>
    </row>
    <row r="29" spans="1:18" x14ac:dyDescent="0.25">
      <c r="A29" s="72" t="s">
        <v>128</v>
      </c>
      <c r="B29" s="30"/>
      <c r="C29" s="25"/>
      <c r="D29" s="6"/>
      <c r="E29" s="26"/>
      <c r="F29" s="6"/>
      <c r="G29" s="6"/>
      <c r="H29" s="5"/>
      <c r="I29" s="5"/>
      <c r="J29" s="64"/>
      <c r="K29" s="68">
        <v>600000</v>
      </c>
      <c r="L29" s="135"/>
      <c r="R29" s="74">
        <v>600000</v>
      </c>
    </row>
    <row r="30" spans="1:18" x14ac:dyDescent="0.25">
      <c r="A30" s="132" t="s">
        <v>130</v>
      </c>
      <c r="B30" s="30"/>
      <c r="C30" s="25"/>
      <c r="D30" s="6"/>
      <c r="E30" s="26"/>
      <c r="G30" s="58"/>
      <c r="H30" s="58"/>
      <c r="I30" s="5"/>
      <c r="J30" s="64"/>
      <c r="K30" s="68"/>
      <c r="L30" s="135"/>
      <c r="R30" s="74">
        <v>10000000</v>
      </c>
    </row>
    <row r="31" spans="1:18" x14ac:dyDescent="0.25">
      <c r="A31" s="31" t="s">
        <v>29</v>
      </c>
      <c r="B31" s="32" t="e">
        <f>SUM(B3,B7,B15,B18,B19,#REF!,B20,B21)</f>
        <v>#REF!</v>
      </c>
      <c r="C31" s="33">
        <f>C21+C19+C18+C15+C7+C3</f>
        <v>91280875</v>
      </c>
      <c r="D31" s="34">
        <f>D21+D19+D18+D15+D7+D3</f>
        <v>23084888</v>
      </c>
      <c r="E31" s="35">
        <f>C31+D31</f>
        <v>114365763</v>
      </c>
      <c r="F31" s="136">
        <f>F19+F18+F15+F7+F3</f>
        <v>116800000</v>
      </c>
      <c r="G31" s="137" t="e">
        <f>G6+G21+G20+#REF!+G19+G18+G15+G7+G3</f>
        <v>#REF!</v>
      </c>
      <c r="H31" s="137" t="e">
        <f>H29+H21+H20+#REF!+H19+H18+H15+H7+H3</f>
        <v>#REF!</v>
      </c>
      <c r="I31" s="36" t="e">
        <f>I29+I21+I20+#REF!+I19+I18+I15+I7+I3</f>
        <v>#REF!</v>
      </c>
      <c r="J31" s="37">
        <f>J29+J27+J26+J25+J24+J23+J22+J21+J20+J19+J18+J15+J7+J3</f>
        <v>193320000</v>
      </c>
      <c r="K31" s="37">
        <f>K29+K28+K27+K26+K25+K24+K23+K22+K21+K20+K19+K18+K15+K7+K3</f>
        <v>207623579.5</v>
      </c>
      <c r="R31" s="37">
        <f>R30+R29+R28+R27+R26+R25+R24+R23+R22+R21+R20+R19+R18+R15+R7+R3</f>
        <v>142351968.34999999</v>
      </c>
    </row>
    <row r="32" spans="1:18" x14ac:dyDescent="0.25">
      <c r="A32" s="3"/>
      <c r="B32" s="3"/>
      <c r="C32" s="5"/>
      <c r="D32" s="6"/>
      <c r="E32" s="6"/>
      <c r="F32" s="6"/>
      <c r="G32" s="6"/>
      <c r="H32" s="29"/>
      <c r="I32" s="5"/>
      <c r="J32" s="64"/>
      <c r="K32" s="68"/>
      <c r="R32" s="68"/>
    </row>
    <row r="33" spans="1:18" x14ac:dyDescent="0.25">
      <c r="A33" s="38" t="s">
        <v>30</v>
      </c>
      <c r="B33" s="34">
        <f>SUM(B34,B38,B44)</f>
        <v>36461000</v>
      </c>
      <c r="C33" s="33">
        <f>SUM(C34,C38,C44)</f>
        <v>23782657</v>
      </c>
      <c r="D33" s="39">
        <f t="shared" ref="D33:J33" si="3">D34+D38+D44</f>
        <v>11675040</v>
      </c>
      <c r="E33" s="39">
        <f t="shared" si="3"/>
        <v>35457697</v>
      </c>
      <c r="F33" s="40">
        <f t="shared" si="3"/>
        <v>40000000</v>
      </c>
      <c r="G33" s="40">
        <f t="shared" si="3"/>
        <v>24015826.897637796</v>
      </c>
      <c r="H33" s="41">
        <f t="shared" si="3"/>
        <v>24347693</v>
      </c>
      <c r="I33" s="41">
        <f t="shared" si="3"/>
        <v>38796539.5</v>
      </c>
      <c r="J33" s="67">
        <f t="shared" si="3"/>
        <v>45074600</v>
      </c>
      <c r="K33" s="78">
        <f>K34+K38+K44</f>
        <v>41971918.5</v>
      </c>
      <c r="R33" s="78">
        <f>R34+R38+R44</f>
        <v>51862355</v>
      </c>
    </row>
    <row r="34" spans="1:18" x14ac:dyDescent="0.25">
      <c r="A34" s="60" t="s">
        <v>31</v>
      </c>
      <c r="B34" s="42">
        <v>23870999.999999996</v>
      </c>
      <c r="C34" s="138">
        <f>C35+C36+C37</f>
        <v>16198990</v>
      </c>
      <c r="D34" s="4">
        <f>D35+D36+D37</f>
        <v>7575040</v>
      </c>
      <c r="E34" s="2">
        <f>C34+D34</f>
        <v>23774030</v>
      </c>
      <c r="F34" s="26">
        <f t="shared" ref="F34:R34" si="4">SUM(F35:F37)</f>
        <v>26000000</v>
      </c>
      <c r="G34" s="26">
        <f t="shared" si="4"/>
        <v>18704796</v>
      </c>
      <c r="H34" s="27">
        <f t="shared" si="4"/>
        <v>17089693</v>
      </c>
      <c r="I34" s="27">
        <f t="shared" si="4"/>
        <v>26034539.5</v>
      </c>
      <c r="J34" s="48">
        <f t="shared" si="4"/>
        <v>28810000</v>
      </c>
      <c r="K34" s="2">
        <f t="shared" si="4"/>
        <v>30262800</v>
      </c>
      <c r="L34" s="2">
        <f t="shared" si="4"/>
        <v>0</v>
      </c>
      <c r="M34" s="2">
        <f t="shared" si="4"/>
        <v>0</v>
      </c>
      <c r="N34" s="2">
        <f t="shared" si="4"/>
        <v>0</v>
      </c>
      <c r="O34" s="2">
        <f t="shared" si="4"/>
        <v>0</v>
      </c>
      <c r="P34" s="2">
        <f t="shared" si="4"/>
        <v>0</v>
      </c>
      <c r="Q34" s="2">
        <f t="shared" si="4"/>
        <v>0</v>
      </c>
      <c r="R34" s="2">
        <f t="shared" si="4"/>
        <v>39951600</v>
      </c>
    </row>
    <row r="35" spans="1:18" ht="30" x14ac:dyDescent="0.25">
      <c r="A35" s="28" t="s">
        <v>87</v>
      </c>
      <c r="B35" s="22">
        <v>16145999.999999998</v>
      </c>
      <c r="C35" s="5">
        <f>9819140-C37+394119+301405+775000+78861+1120000+1173424+1352000</f>
        <v>11013949</v>
      </c>
      <c r="D35" s="6">
        <f>(310000+232000+600000+210000)*4</f>
        <v>5408000</v>
      </c>
      <c r="E35" s="6"/>
      <c r="F35" s="6">
        <v>18000000</v>
      </c>
      <c r="G35" s="6">
        <f>18704796-3000000</f>
        <v>15704796</v>
      </c>
      <c r="H35" s="5">
        <f>11984193+800000</f>
        <v>12784193</v>
      </c>
      <c r="I35" s="5">
        <f>H35/8*12</f>
        <v>19176289.5</v>
      </c>
      <c r="J35" s="64">
        <v>21100000</v>
      </c>
      <c r="K35" s="68">
        <v>23670000</v>
      </c>
      <c r="R35" s="139">
        <f>(400000+380000+300000+720000+610000)*1.05*12</f>
        <v>30366000</v>
      </c>
    </row>
    <row r="36" spans="1:18" x14ac:dyDescent="0.25">
      <c r="A36" s="3" t="s">
        <v>32</v>
      </c>
      <c r="B36" s="22">
        <v>1724999.9999999998</v>
      </c>
      <c r="C36" s="5">
        <f>945041+240000</f>
        <v>1185041</v>
      </c>
      <c r="D36" s="6">
        <f>(232000*0.18)*4</f>
        <v>167040</v>
      </c>
      <c r="E36" s="6"/>
      <c r="F36" s="6">
        <v>2000000</v>
      </c>
      <c r="G36" s="6"/>
      <c r="H36" s="5">
        <v>305500</v>
      </c>
      <c r="I36" s="5">
        <f>H36/8*12+400000</f>
        <v>858250</v>
      </c>
      <c r="J36" s="64">
        <v>510000</v>
      </c>
      <c r="K36" s="68">
        <v>592800</v>
      </c>
      <c r="R36" s="68">
        <f>(380000+380000)*0.13*12</f>
        <v>1185600</v>
      </c>
    </row>
    <row r="37" spans="1:18" x14ac:dyDescent="0.25">
      <c r="A37" s="3" t="s">
        <v>33</v>
      </c>
      <c r="B37" s="22">
        <v>6000000</v>
      </c>
      <c r="C37" s="5">
        <f>500000*8</f>
        <v>4000000</v>
      </c>
      <c r="D37" s="6">
        <f>(500000*4)</f>
        <v>2000000</v>
      </c>
      <c r="E37" s="6"/>
      <c r="F37" s="6">
        <v>6000000</v>
      </c>
      <c r="G37" s="6">
        <v>3000000</v>
      </c>
      <c r="H37" s="5">
        <v>4000000</v>
      </c>
      <c r="I37" s="5">
        <v>6000000</v>
      </c>
      <c r="J37" s="64">
        <f>600000*12</f>
        <v>7200000</v>
      </c>
      <c r="K37" s="68">
        <v>6000000</v>
      </c>
      <c r="R37" s="68">
        <f>700000*12</f>
        <v>8400000</v>
      </c>
    </row>
    <row r="38" spans="1:18" x14ac:dyDescent="0.25">
      <c r="A38" s="60" t="s">
        <v>34</v>
      </c>
      <c r="B38" s="42">
        <v>12190000</v>
      </c>
      <c r="C38" s="43">
        <f>C39+C40+C41+C42+C43</f>
        <v>6985000</v>
      </c>
      <c r="D38" s="22">
        <f>SUM(D39:D43)</f>
        <v>3900000</v>
      </c>
      <c r="E38" s="26">
        <f>C38+D38</f>
        <v>10885000</v>
      </c>
      <c r="F38" s="26">
        <f t="shared" ref="F38:K38" si="5">SUM(F39:F43)</f>
        <v>13000000</v>
      </c>
      <c r="G38" s="26">
        <f t="shared" si="5"/>
        <v>4550252.7559055118</v>
      </c>
      <c r="H38" s="27">
        <f t="shared" si="5"/>
        <v>7174000</v>
      </c>
      <c r="I38" s="27">
        <f t="shared" si="5"/>
        <v>12636000</v>
      </c>
      <c r="J38" s="48">
        <f t="shared" si="5"/>
        <v>15264600</v>
      </c>
      <c r="K38" s="2">
        <f t="shared" si="5"/>
        <v>11386552.5</v>
      </c>
      <c r="R38" s="2">
        <f t="shared" ref="R38" si="6">SUM(R39:R43)</f>
        <v>11410755</v>
      </c>
    </row>
    <row r="39" spans="1:18" x14ac:dyDescent="0.25">
      <c r="A39" s="3" t="s">
        <v>35</v>
      </c>
      <c r="B39" s="22">
        <v>2400000</v>
      </c>
      <c r="C39" s="5">
        <f>1450000+200000</f>
        <v>1650000</v>
      </c>
      <c r="D39" s="6">
        <f>200000*4</f>
        <v>800000</v>
      </c>
      <c r="E39" s="6"/>
      <c r="F39" s="6">
        <v>2400000</v>
      </c>
      <c r="G39" s="6">
        <f>'[1]2'!A3</f>
        <v>1200000</v>
      </c>
      <c r="H39" s="5">
        <v>1600000</v>
      </c>
      <c r="I39" s="5">
        <f>2400000</f>
        <v>2400000</v>
      </c>
      <c r="J39" s="64">
        <f>I39*1.2</f>
        <v>2880000</v>
      </c>
      <c r="K39" s="68">
        <v>1400000</v>
      </c>
      <c r="R39" s="68">
        <v>0</v>
      </c>
    </row>
    <row r="40" spans="1:18" x14ac:dyDescent="0.25">
      <c r="A40" s="3" t="s">
        <v>36</v>
      </c>
      <c r="B40" s="22">
        <v>2470000</v>
      </c>
      <c r="C40" s="5">
        <f>380000+165000+190000</f>
        <v>735000</v>
      </c>
      <c r="D40" s="6">
        <f>200000*4</f>
        <v>800000</v>
      </c>
      <c r="E40" s="6"/>
      <c r="F40" s="6">
        <v>3000000</v>
      </c>
      <c r="G40" s="6">
        <f>'[1]2'!E3</f>
        <v>1259452.7559055118</v>
      </c>
      <c r="H40" s="5">
        <f>1684000+430000</f>
        <v>2114000</v>
      </c>
      <c r="I40" s="5">
        <f>(1684000+430000)/8*12</f>
        <v>3171000</v>
      </c>
      <c r="J40" s="64">
        <f>I40*1.1</f>
        <v>3488100.0000000005</v>
      </c>
      <c r="K40" s="68">
        <v>3313852.5</v>
      </c>
      <c r="R40" s="68">
        <f>260000*12</f>
        <v>3120000</v>
      </c>
    </row>
    <row r="41" spans="1:18" x14ac:dyDescent="0.25">
      <c r="A41" s="3" t="s">
        <v>37</v>
      </c>
      <c r="B41" s="22">
        <v>3720000</v>
      </c>
      <c r="C41" s="5">
        <f>2100000+300000</f>
        <v>2400000</v>
      </c>
      <c r="D41" s="6">
        <f>300000*4</f>
        <v>1200000</v>
      </c>
      <c r="E41" s="6"/>
      <c r="F41" s="6">
        <v>3700000</v>
      </c>
      <c r="G41" s="6">
        <f>'[1]2'!G3</f>
        <v>1885000</v>
      </c>
      <c r="H41" s="5">
        <f>350000*8</f>
        <v>2800000</v>
      </c>
      <c r="I41" s="5">
        <f>350000*12+1000000</f>
        <v>5200000</v>
      </c>
      <c r="J41" s="64">
        <f>I41*1.1-1100000</f>
        <v>4620000</v>
      </c>
      <c r="K41" s="68">
        <f>2233000+4*360000</f>
        <v>3673000</v>
      </c>
      <c r="R41" s="68">
        <f>360000*12</f>
        <v>4320000</v>
      </c>
    </row>
    <row r="42" spans="1:18" x14ac:dyDescent="0.25">
      <c r="A42" s="3" t="s">
        <v>38</v>
      </c>
      <c r="B42" s="22">
        <v>300000</v>
      </c>
      <c r="C42" s="5">
        <v>200000</v>
      </c>
      <c r="D42" s="6">
        <f>31750/1.27*4</f>
        <v>100000</v>
      </c>
      <c r="E42" s="6"/>
      <c r="F42" s="6">
        <v>300000</v>
      </c>
      <c r="G42" s="6">
        <f>'[1]2'!J3</f>
        <v>205800</v>
      </c>
      <c r="H42" s="5">
        <v>410000</v>
      </c>
      <c r="I42" s="5">
        <f>H42/8*12</f>
        <v>615000</v>
      </c>
      <c r="J42" s="64">
        <f>I42*1.1</f>
        <v>676500</v>
      </c>
      <c r="K42" s="68">
        <v>224700</v>
      </c>
      <c r="R42" s="68">
        <f>K42/8*12*1.1</f>
        <v>370755.00000000006</v>
      </c>
    </row>
    <row r="43" spans="1:18" x14ac:dyDescent="0.25">
      <c r="A43" s="3" t="s">
        <v>39</v>
      </c>
      <c r="B43" s="22">
        <v>3300000</v>
      </c>
      <c r="C43" s="5">
        <f>1750000+250000</f>
        <v>2000000</v>
      </c>
      <c r="D43" s="6">
        <f>250000*4</f>
        <v>1000000</v>
      </c>
      <c r="E43" s="6"/>
      <c r="F43" s="6">
        <v>3600000</v>
      </c>
      <c r="G43" s="6"/>
      <c r="H43" s="5">
        <v>250000</v>
      </c>
      <c r="I43" s="5">
        <f>H43+1000000</f>
        <v>1250000</v>
      </c>
      <c r="J43" s="64">
        <v>3600000</v>
      </c>
      <c r="K43" s="68">
        <v>2775000</v>
      </c>
      <c r="R43" s="68">
        <f>300000*12</f>
        <v>3600000</v>
      </c>
    </row>
    <row r="44" spans="1:18" x14ac:dyDescent="0.25">
      <c r="A44" s="3" t="s">
        <v>40</v>
      </c>
      <c r="B44" s="42">
        <v>400000</v>
      </c>
      <c r="C44" s="43">
        <f>C46+C45</f>
        <v>598667</v>
      </c>
      <c r="D44" s="42">
        <f>D46+D45</f>
        <v>200000</v>
      </c>
      <c r="E44" s="26">
        <f>C44+D44</f>
        <v>798667</v>
      </c>
      <c r="F44" s="26">
        <v>1000000</v>
      </c>
      <c r="G44" s="26">
        <f t="shared" ref="G44:K44" si="7">G45+G46</f>
        <v>760778.1417322834</v>
      </c>
      <c r="H44" s="27">
        <f t="shared" si="7"/>
        <v>84000</v>
      </c>
      <c r="I44" s="27">
        <f t="shared" si="7"/>
        <v>126000</v>
      </c>
      <c r="J44" s="48">
        <f t="shared" si="7"/>
        <v>1000000</v>
      </c>
      <c r="K44" s="2">
        <f t="shared" si="7"/>
        <v>322566</v>
      </c>
      <c r="R44" s="2">
        <f>R45+R46</f>
        <v>500000</v>
      </c>
    </row>
    <row r="45" spans="1:18" x14ac:dyDescent="0.25">
      <c r="A45" s="3" t="s">
        <v>41</v>
      </c>
      <c r="B45" s="22">
        <v>200000</v>
      </c>
      <c r="C45" s="5">
        <f>28319</f>
        <v>28319</v>
      </c>
      <c r="D45" s="6">
        <v>50000</v>
      </c>
      <c r="E45" s="6"/>
      <c r="F45" s="6">
        <v>200000</v>
      </c>
      <c r="G45" s="6">
        <f>'[1]3-4'!A3</f>
        <v>75266.14173228346</v>
      </c>
      <c r="H45" s="5">
        <v>84000</v>
      </c>
      <c r="I45" s="5">
        <f>84000/8*12</f>
        <v>126000</v>
      </c>
      <c r="J45" s="64">
        <v>200000</v>
      </c>
      <c r="K45" s="68">
        <v>126402</v>
      </c>
      <c r="R45" s="68">
        <v>250000</v>
      </c>
    </row>
    <row r="46" spans="1:18" x14ac:dyDescent="0.25">
      <c r="A46" s="3" t="s">
        <v>42</v>
      </c>
      <c r="B46" s="22">
        <v>200000</v>
      </c>
      <c r="C46" s="5">
        <f>26698+543650</f>
        <v>570348</v>
      </c>
      <c r="D46" s="6">
        <v>150000</v>
      </c>
      <c r="E46" s="6"/>
      <c r="F46" s="6">
        <v>800000</v>
      </c>
      <c r="G46" s="6">
        <v>685512</v>
      </c>
      <c r="H46" s="5"/>
      <c r="I46" s="5"/>
      <c r="J46" s="64">
        <v>800000</v>
      </c>
      <c r="K46" s="68">
        <v>196164</v>
      </c>
      <c r="R46" s="68">
        <v>250000</v>
      </c>
    </row>
    <row r="47" spans="1:18" x14ac:dyDescent="0.25">
      <c r="A47" s="44" t="s">
        <v>90</v>
      </c>
      <c r="B47" s="32">
        <f>SUM(B48,B53,B56,B57,B60,B61,B62,B63,B64,B65,B66)</f>
        <v>28010000</v>
      </c>
      <c r="C47" s="45">
        <f>C48+C53+C56+C57+C60+C61+C62+C63+C66</f>
        <v>22512415</v>
      </c>
      <c r="D47" s="32">
        <f>D48+D53+D56+D57+D60+D61+D62+D63+D66</f>
        <v>6245000</v>
      </c>
      <c r="E47" s="32">
        <f t="shared" ref="E47:K47" si="8">E48+E53+E56+E57+E60+E61+E62+E63+E64+E65+E66</f>
        <v>29807415</v>
      </c>
      <c r="F47" s="26">
        <f t="shared" si="8"/>
        <v>31500000</v>
      </c>
      <c r="G47" s="26">
        <f t="shared" si="8"/>
        <v>20792661.637795273</v>
      </c>
      <c r="H47" s="27">
        <f t="shared" si="8"/>
        <v>21701905</v>
      </c>
      <c r="I47" s="27">
        <f t="shared" si="8"/>
        <v>31431589</v>
      </c>
      <c r="J47" s="48">
        <f t="shared" si="8"/>
        <v>33400000</v>
      </c>
      <c r="K47" s="2">
        <f t="shared" si="8"/>
        <v>37411012</v>
      </c>
      <c r="R47" s="2">
        <f>R48+R53+R56+R57+R60+R61+R62+R63+R64+R65+R66</f>
        <v>37177600</v>
      </c>
    </row>
    <row r="48" spans="1:18" x14ac:dyDescent="0.25">
      <c r="A48" s="3" t="s">
        <v>43</v>
      </c>
      <c r="B48" s="30">
        <f>SUM(B49:B52)</f>
        <v>1450000</v>
      </c>
      <c r="C48" s="46">
        <f>SUM(C49:C52)</f>
        <v>1311535</v>
      </c>
      <c r="D48" s="22">
        <f>SUM(D49:D52)</f>
        <v>135000</v>
      </c>
      <c r="E48" s="26">
        <f>C48+D48</f>
        <v>1446535</v>
      </c>
      <c r="F48" s="26">
        <v>1700000</v>
      </c>
      <c r="G48" s="26">
        <f t="shared" ref="G48:K48" si="9">G49+G50+G51+G52</f>
        <v>1172463.4383202097</v>
      </c>
      <c r="H48" s="27">
        <f t="shared" si="9"/>
        <v>597680</v>
      </c>
      <c r="I48" s="27">
        <f t="shared" si="9"/>
        <v>1165000</v>
      </c>
      <c r="J48" s="48">
        <f t="shared" si="9"/>
        <v>1600000</v>
      </c>
      <c r="K48" s="2">
        <f t="shared" si="9"/>
        <v>2568923</v>
      </c>
      <c r="R48" s="2">
        <f t="shared" ref="R48" si="10">R49+R50+R51+R52</f>
        <v>2300000</v>
      </c>
    </row>
    <row r="49" spans="1:20" x14ac:dyDescent="0.25">
      <c r="A49" s="3" t="s">
        <v>44</v>
      </c>
      <c r="B49" s="22">
        <v>250000</v>
      </c>
      <c r="C49" s="5">
        <v>35463</v>
      </c>
      <c r="D49" s="6">
        <v>15000</v>
      </c>
      <c r="E49" s="6"/>
      <c r="F49" s="6">
        <v>100000</v>
      </c>
      <c r="G49" s="6">
        <f>'[1]3-4'!G3</f>
        <v>12748.031496062991</v>
      </c>
      <c r="H49" s="5">
        <v>5180</v>
      </c>
      <c r="I49" s="5">
        <v>15000</v>
      </c>
      <c r="J49" s="64">
        <v>300000</v>
      </c>
      <c r="K49" s="68">
        <v>620681</v>
      </c>
      <c r="R49" s="68">
        <v>300000</v>
      </c>
    </row>
    <row r="50" spans="1:20" x14ac:dyDescent="0.25">
      <c r="A50" s="3" t="s">
        <v>45</v>
      </c>
      <c r="B50" s="22">
        <v>450000</v>
      </c>
      <c r="C50" s="5">
        <v>727000</v>
      </c>
      <c r="D50" s="6">
        <v>100000</v>
      </c>
      <c r="E50" s="6"/>
      <c r="F50" s="6">
        <v>900000</v>
      </c>
      <c r="G50" s="6">
        <f>'[1]3-4'!J3</f>
        <v>302130.7086614173</v>
      </c>
      <c r="H50" s="5">
        <f>232000</f>
        <v>232000</v>
      </c>
      <c r="I50" s="5">
        <v>350000</v>
      </c>
      <c r="J50" s="64">
        <v>500000</v>
      </c>
      <c r="K50" s="68">
        <f>121108+130000</f>
        <v>251108</v>
      </c>
      <c r="R50" s="68">
        <v>500000</v>
      </c>
    </row>
    <row r="51" spans="1:20" x14ac:dyDescent="0.25">
      <c r="A51" s="3" t="s">
        <v>46</v>
      </c>
      <c r="B51" s="22">
        <v>450000</v>
      </c>
      <c r="C51" s="5">
        <v>505683</v>
      </c>
      <c r="D51" s="6">
        <v>0</v>
      </c>
      <c r="E51" s="6"/>
      <c r="F51" s="6">
        <v>600000</v>
      </c>
      <c r="G51" s="6">
        <f>'[1]3-4'!M3</f>
        <v>688756.43044619414</v>
      </c>
      <c r="H51" s="5">
        <v>330000</v>
      </c>
      <c r="I51" s="5">
        <v>700000</v>
      </c>
      <c r="J51" s="64">
        <v>700000</v>
      </c>
      <c r="K51" s="68">
        <f>1322400-259000</f>
        <v>1063400</v>
      </c>
      <c r="R51" s="68">
        <v>800000</v>
      </c>
    </row>
    <row r="52" spans="1:20" x14ac:dyDescent="0.25">
      <c r="A52" s="3" t="s">
        <v>47</v>
      </c>
      <c r="B52" s="22">
        <v>300000</v>
      </c>
      <c r="C52" s="5">
        <v>43389</v>
      </c>
      <c r="D52" s="6">
        <v>20000</v>
      </c>
      <c r="E52" s="6"/>
      <c r="F52" s="6">
        <v>100000</v>
      </c>
      <c r="G52" s="6">
        <f>'[1]3-4'!P3</f>
        <v>168828.26771653543</v>
      </c>
      <c r="H52" s="5">
        <v>30500</v>
      </c>
      <c r="I52" s="5">
        <v>100000</v>
      </c>
      <c r="J52" s="64">
        <v>100000</v>
      </c>
      <c r="K52" s="68">
        <f>233734+400000</f>
        <v>633734</v>
      </c>
      <c r="R52" s="68">
        <v>700000</v>
      </c>
    </row>
    <row r="53" spans="1:20" x14ac:dyDescent="0.25">
      <c r="A53" s="3" t="s">
        <v>48</v>
      </c>
      <c r="B53" s="30">
        <f>SUM(B54:B55)</f>
        <v>860000</v>
      </c>
      <c r="C53" s="25">
        <f>C54+C55</f>
        <v>287750</v>
      </c>
      <c r="D53" s="22">
        <f>D54+D55</f>
        <v>160000</v>
      </c>
      <c r="E53" s="26">
        <f>C53+D53</f>
        <v>447750</v>
      </c>
      <c r="F53" s="26">
        <v>500000</v>
      </c>
      <c r="G53" s="26">
        <f t="shared" ref="G53:K53" si="11">G54+G55</f>
        <v>274125.9842519685</v>
      </c>
      <c r="H53" s="27">
        <f t="shared" si="11"/>
        <v>154200</v>
      </c>
      <c r="I53" s="27">
        <f t="shared" si="11"/>
        <v>345200</v>
      </c>
      <c r="J53" s="48">
        <f t="shared" si="11"/>
        <v>500000</v>
      </c>
      <c r="K53" s="2">
        <f t="shared" si="11"/>
        <v>610131</v>
      </c>
      <c r="R53" s="2">
        <f t="shared" ref="R53" si="12">R54+R55</f>
        <v>827600</v>
      </c>
    </row>
    <row r="54" spans="1:20" x14ac:dyDescent="0.25">
      <c r="A54" s="3" t="s">
        <v>49</v>
      </c>
      <c r="B54" s="22">
        <v>360000</v>
      </c>
      <c r="C54" s="5">
        <v>87750</v>
      </c>
      <c r="D54" s="6">
        <v>110000</v>
      </c>
      <c r="E54" s="6"/>
      <c r="F54" s="6">
        <v>200000</v>
      </c>
      <c r="G54" s="6">
        <f>'[1]5-8'!A3</f>
        <v>214237.79527559056</v>
      </c>
      <c r="H54" s="5">
        <v>145200</v>
      </c>
      <c r="I54" s="5">
        <v>145200</v>
      </c>
      <c r="J54" s="64">
        <v>200000</v>
      </c>
      <c r="K54" s="68">
        <v>327600</v>
      </c>
      <c r="R54" s="68">
        <f>126*2600</f>
        <v>327600</v>
      </c>
    </row>
    <row r="55" spans="1:20" x14ac:dyDescent="0.25">
      <c r="A55" s="3" t="s">
        <v>50</v>
      </c>
      <c r="B55" s="22">
        <v>500000</v>
      </c>
      <c r="C55" s="5">
        <v>200000</v>
      </c>
      <c r="D55" s="6">
        <f>50000</f>
        <v>50000</v>
      </c>
      <c r="E55" s="6"/>
      <c r="F55" s="6">
        <v>300000</v>
      </c>
      <c r="G55" s="6">
        <f>'[1]5-8'!D3</f>
        <v>59888.188976377955</v>
      </c>
      <c r="H55" s="5">
        <v>9000</v>
      </c>
      <c r="I55" s="5">
        <v>200000</v>
      </c>
      <c r="J55" s="64">
        <v>300000</v>
      </c>
      <c r="K55" s="68">
        <v>282531</v>
      </c>
      <c r="R55" s="68">
        <v>500000</v>
      </c>
    </row>
    <row r="56" spans="1:20" x14ac:dyDescent="0.25">
      <c r="A56" s="3" t="s">
        <v>51</v>
      </c>
      <c r="B56" s="30">
        <v>1000000</v>
      </c>
      <c r="C56" s="25">
        <f>1148738+1350000</f>
        <v>2498738</v>
      </c>
      <c r="D56" s="22">
        <f>400000</f>
        <v>400000</v>
      </c>
      <c r="E56" s="26">
        <f>C56+D56</f>
        <v>2898738</v>
      </c>
      <c r="F56" s="26">
        <v>1500000</v>
      </c>
      <c r="G56" s="26">
        <f>'[1]5-8'!G3</f>
        <v>590937.00787401572</v>
      </c>
      <c r="H56" s="27">
        <v>466454</v>
      </c>
      <c r="I56" s="27">
        <v>466454</v>
      </c>
      <c r="J56" s="48">
        <v>1500000</v>
      </c>
      <c r="K56" s="2">
        <f>1297140+300000</f>
        <v>1597140</v>
      </c>
      <c r="R56" s="2">
        <v>1500000</v>
      </c>
    </row>
    <row r="57" spans="1:20" x14ac:dyDescent="0.25">
      <c r="A57" s="3" t="s">
        <v>52</v>
      </c>
      <c r="B57" s="30">
        <f>SUM(B58:B59)</f>
        <v>3350000</v>
      </c>
      <c r="C57" s="25">
        <f>C58+C59</f>
        <v>1830151</v>
      </c>
      <c r="D57" s="22">
        <f>D58+D59</f>
        <v>1550000</v>
      </c>
      <c r="E57" s="26">
        <f>C57+D57</f>
        <v>3380151</v>
      </c>
      <c r="F57" s="26">
        <v>3500000</v>
      </c>
      <c r="G57" s="26">
        <f>G58+G59</f>
        <v>1861500</v>
      </c>
      <c r="H57" s="27">
        <v>2636740</v>
      </c>
      <c r="I57" s="27">
        <f>2636740+1000000</f>
        <v>3636740</v>
      </c>
      <c r="J57" s="48">
        <f>J58+J59</f>
        <v>3700000</v>
      </c>
      <c r="K57" s="2">
        <f>K58</f>
        <v>3790455</v>
      </c>
      <c r="R57" s="2">
        <v>4050000</v>
      </c>
    </row>
    <row r="58" spans="1:20" x14ac:dyDescent="0.25">
      <c r="A58" s="3"/>
      <c r="B58" s="22">
        <v>3000000</v>
      </c>
      <c r="C58" s="5">
        <f>1490599+339552</f>
        <v>1830151</v>
      </c>
      <c r="D58" s="6">
        <v>1400000</v>
      </c>
      <c r="E58" s="6"/>
      <c r="F58" s="6">
        <v>3300000</v>
      </c>
      <c r="G58" s="6">
        <f>'[1]5-8'!J3</f>
        <v>1861500</v>
      </c>
      <c r="H58" s="5"/>
      <c r="I58" s="5">
        <f>G58</f>
        <v>1861500</v>
      </c>
      <c r="J58" s="64">
        <v>3500000</v>
      </c>
      <c r="K58" s="68">
        <v>3790455</v>
      </c>
      <c r="R58" s="68"/>
    </row>
    <row r="59" spans="1:20" hidden="1" x14ac:dyDescent="0.25">
      <c r="A59" s="3" t="s">
        <v>53</v>
      </c>
      <c r="B59" s="22">
        <v>350000</v>
      </c>
      <c r="C59" s="5"/>
      <c r="D59" s="6">
        <f>150000</f>
        <v>150000</v>
      </c>
      <c r="E59" s="6"/>
      <c r="F59" s="6">
        <v>200000</v>
      </c>
      <c r="G59" s="6"/>
      <c r="H59" s="5"/>
      <c r="I59" s="5">
        <v>200000</v>
      </c>
      <c r="J59" s="64">
        <v>200000</v>
      </c>
      <c r="K59" s="68"/>
      <c r="R59" s="68"/>
    </row>
    <row r="60" spans="1:20" x14ac:dyDescent="0.25">
      <c r="A60" s="3" t="s">
        <v>54</v>
      </c>
      <c r="B60" s="22">
        <v>7000000</v>
      </c>
      <c r="C60" s="25">
        <v>3629831</v>
      </c>
      <c r="D60" s="22">
        <v>3400000</v>
      </c>
      <c r="E60" s="26">
        <f>D60+C60</f>
        <v>7029831</v>
      </c>
      <c r="F60" s="26">
        <v>7000000</v>
      </c>
      <c r="G60" s="26">
        <f>'[1]5-8'!P3+500000</f>
        <v>4335994.7349081365</v>
      </c>
      <c r="H60" s="27">
        <v>4000248</v>
      </c>
      <c r="I60" s="27">
        <v>10000000</v>
      </c>
      <c r="J60" s="48">
        <v>8000000</v>
      </c>
      <c r="K60" s="2">
        <v>9788206</v>
      </c>
      <c r="R60" s="2">
        <v>8000000</v>
      </c>
    </row>
    <row r="61" spans="1:20" x14ac:dyDescent="0.25">
      <c r="A61" s="3" t="s">
        <v>55</v>
      </c>
      <c r="B61" s="22">
        <v>10000000</v>
      </c>
      <c r="C61" s="25">
        <v>12419978</v>
      </c>
      <c r="D61" s="22">
        <v>500000</v>
      </c>
      <c r="E61" s="26">
        <f>D61+C61</f>
        <v>12919978</v>
      </c>
      <c r="F61" s="26">
        <v>13000000</v>
      </c>
      <c r="G61" s="26">
        <f>'[1]9-14'!A3</f>
        <v>11342057.480314961</v>
      </c>
      <c r="H61" s="27">
        <v>12628388</v>
      </c>
      <c r="I61" s="27">
        <v>13000000</v>
      </c>
      <c r="J61" s="48">
        <v>14000000</v>
      </c>
      <c r="K61" s="74">
        <v>17674444</v>
      </c>
      <c r="Q61"/>
      <c r="R61" s="2">
        <v>18000000</v>
      </c>
      <c r="S61" s="1"/>
      <c r="T61"/>
    </row>
    <row r="62" spans="1:20" x14ac:dyDescent="0.25">
      <c r="A62" s="3" t="s">
        <v>56</v>
      </c>
      <c r="B62" s="22">
        <v>1500000</v>
      </c>
      <c r="C62" s="25">
        <v>56715</v>
      </c>
      <c r="D62" s="22">
        <v>100000</v>
      </c>
      <c r="E62" s="26">
        <f t="shared" ref="E62:E66" si="13">D62+C62</f>
        <v>156715</v>
      </c>
      <c r="F62" s="26">
        <v>1500000</v>
      </c>
      <c r="G62" s="26">
        <f>'[1]9-14'!D3</f>
        <v>51181.889763779531</v>
      </c>
      <c r="H62" s="27">
        <v>53157</v>
      </c>
      <c r="I62" s="27">
        <v>53157</v>
      </c>
      <c r="J62" s="48">
        <v>1500000</v>
      </c>
      <c r="K62" s="2">
        <f>396959+300000</f>
        <v>696959</v>
      </c>
      <c r="Q62"/>
      <c r="R62" s="2">
        <v>500000</v>
      </c>
      <c r="S62" s="1"/>
      <c r="T62"/>
    </row>
    <row r="63" spans="1:20" x14ac:dyDescent="0.25">
      <c r="A63" s="3" t="s">
        <v>57</v>
      </c>
      <c r="B63" s="22">
        <v>750000</v>
      </c>
      <c r="C63" s="25">
        <f>477717</f>
        <v>477717</v>
      </c>
      <c r="D63" s="22">
        <v>0</v>
      </c>
      <c r="E63" s="26">
        <f t="shared" si="13"/>
        <v>477717</v>
      </c>
      <c r="F63" s="26">
        <v>700000</v>
      </c>
      <c r="G63" s="26">
        <f>'[1]9-14'!G3</f>
        <v>1144401.1023622043</v>
      </c>
      <c r="H63" s="27">
        <v>1145038</v>
      </c>
      <c r="I63" s="27">
        <v>1145038</v>
      </c>
      <c r="J63" s="48">
        <v>1500000</v>
      </c>
      <c r="K63" s="2">
        <v>684754</v>
      </c>
      <c r="Q63"/>
      <c r="R63" s="2">
        <v>1000000</v>
      </c>
      <c r="S63" s="1"/>
      <c r="T63"/>
    </row>
    <row r="64" spans="1:20" x14ac:dyDescent="0.25">
      <c r="A64" s="3" t="s">
        <v>58</v>
      </c>
      <c r="B64" s="22">
        <v>100000</v>
      </c>
      <c r="C64" s="25"/>
      <c r="D64" s="22">
        <v>50000</v>
      </c>
      <c r="E64" s="26">
        <f t="shared" si="13"/>
        <v>50000</v>
      </c>
      <c r="F64" s="26">
        <v>100000</v>
      </c>
      <c r="G64" s="26">
        <f>'[1]9-14'!J3</f>
        <v>20000</v>
      </c>
      <c r="H64" s="27">
        <v>20000</v>
      </c>
      <c r="I64" s="27">
        <v>20000</v>
      </c>
      <c r="J64" s="48">
        <v>100000</v>
      </c>
      <c r="K64" s="2"/>
      <c r="Q64"/>
      <c r="R64" s="2"/>
      <c r="S64" s="1"/>
      <c r="T64"/>
    </row>
    <row r="65" spans="1:20" x14ac:dyDescent="0.25">
      <c r="A65" s="3" t="s">
        <v>59</v>
      </c>
      <c r="B65" s="22">
        <v>1000000</v>
      </c>
      <c r="C65" s="25"/>
      <c r="D65" s="22">
        <v>1000000</v>
      </c>
      <c r="E65" s="26">
        <f t="shared" si="13"/>
        <v>1000000</v>
      </c>
      <c r="F65" s="26">
        <v>1000000</v>
      </c>
      <c r="G65" s="26"/>
      <c r="H65" s="27"/>
      <c r="I65" s="27">
        <v>600000</v>
      </c>
      <c r="J65" s="48">
        <v>1000000</v>
      </c>
      <c r="K65" s="2"/>
      <c r="Q65"/>
      <c r="R65" s="2">
        <v>1000000</v>
      </c>
      <c r="S65" s="1"/>
      <c r="T65"/>
    </row>
    <row r="66" spans="1:20" x14ac:dyDescent="0.25">
      <c r="A66" s="28" t="s">
        <v>60</v>
      </c>
      <c r="B66" s="22">
        <v>1000000</v>
      </c>
      <c r="C66" s="25">
        <v>0</v>
      </c>
      <c r="D66" s="22">
        <v>0</v>
      </c>
      <c r="E66" s="26">
        <f t="shared" si="13"/>
        <v>0</v>
      </c>
      <c r="F66" s="26">
        <v>1000000</v>
      </c>
      <c r="G66" s="26"/>
      <c r="H66" s="27"/>
      <c r="I66" s="27">
        <v>1000000</v>
      </c>
      <c r="J66" s="48"/>
      <c r="K66" s="2"/>
      <c r="Q66"/>
      <c r="R66" s="2"/>
      <c r="S66" s="1"/>
      <c r="T66"/>
    </row>
    <row r="67" spans="1:20" ht="15.75" thickBot="1" x14ac:dyDescent="0.3">
      <c r="A67" s="99" t="s">
        <v>61</v>
      </c>
      <c r="B67" s="100">
        <f>SUM(B68,B80,B84)</f>
        <v>50457400</v>
      </c>
      <c r="C67" s="101">
        <f>SUM(C68+C80+C85+C86)</f>
        <v>37440558.047244094</v>
      </c>
      <c r="D67" s="100">
        <f t="shared" ref="D67:E67" si="14">SUM(D68,D80,D84)</f>
        <v>16114790.391451068</v>
      </c>
      <c r="E67" s="100">
        <f t="shared" si="14"/>
        <v>44061671.438695163</v>
      </c>
      <c r="F67" s="102">
        <f t="shared" ref="F67:K67" si="15">F68+F80+F84</f>
        <v>44286050</v>
      </c>
      <c r="G67" s="102">
        <f t="shared" si="15"/>
        <v>21420738.717957608</v>
      </c>
      <c r="H67" s="103">
        <f t="shared" si="15"/>
        <v>23898525</v>
      </c>
      <c r="I67" s="103">
        <f t="shared" si="15"/>
        <v>42642185.5</v>
      </c>
      <c r="J67" s="104">
        <f t="shared" si="15"/>
        <v>43390000</v>
      </c>
      <c r="K67" s="78">
        <f t="shared" si="15"/>
        <v>41457130.75</v>
      </c>
      <c r="L67" s="88"/>
      <c r="M67" s="88"/>
      <c r="N67" s="88"/>
      <c r="O67" s="88"/>
      <c r="P67" s="88"/>
      <c r="Q67" s="89"/>
      <c r="R67" s="140">
        <f>R68+R80+R84</f>
        <v>43426862</v>
      </c>
      <c r="S67" s="1"/>
      <c r="T67"/>
    </row>
    <row r="68" spans="1:20" x14ac:dyDescent="0.25">
      <c r="A68" s="79" t="s">
        <v>62</v>
      </c>
      <c r="B68" s="91">
        <f>SUM(B69:B78)</f>
        <v>43767400</v>
      </c>
      <c r="C68" s="66">
        <f t="shared" ref="C68:K68" si="16">SUM(C69:C79)</f>
        <v>23013841.047244094</v>
      </c>
      <c r="D68" s="81">
        <f t="shared" si="16"/>
        <v>14764790.391451068</v>
      </c>
      <c r="E68" s="18">
        <f t="shared" si="16"/>
        <v>37778631.438695163</v>
      </c>
      <c r="F68" s="18">
        <f t="shared" si="16"/>
        <v>36986050</v>
      </c>
      <c r="G68" s="18">
        <f t="shared" si="16"/>
        <v>17119470.214020602</v>
      </c>
      <c r="H68" s="19">
        <f t="shared" si="16"/>
        <v>20470775</v>
      </c>
      <c r="I68" s="19">
        <f t="shared" si="16"/>
        <v>32734360.5</v>
      </c>
      <c r="J68" s="66">
        <f t="shared" si="16"/>
        <v>34990000</v>
      </c>
      <c r="K68" s="2">
        <f t="shared" si="16"/>
        <v>32430216</v>
      </c>
      <c r="L68" s="145" t="s">
        <v>114</v>
      </c>
      <c r="M68" s="145"/>
      <c r="N68" s="98"/>
      <c r="O68" s="145" t="s">
        <v>115</v>
      </c>
      <c r="P68" s="145"/>
      <c r="Q68"/>
      <c r="R68" s="2">
        <f>SUM(R69:R79)</f>
        <v>33023905</v>
      </c>
      <c r="S68" s="1"/>
      <c r="T68"/>
    </row>
    <row r="69" spans="1:20" x14ac:dyDescent="0.25">
      <c r="A69" s="3" t="s">
        <v>63</v>
      </c>
      <c r="B69" s="22">
        <v>380400</v>
      </c>
      <c r="C69" s="5">
        <v>158022</v>
      </c>
      <c r="D69" s="6">
        <f>C69</f>
        <v>158022</v>
      </c>
      <c r="E69" s="6">
        <f>C69+D69</f>
        <v>316044</v>
      </c>
      <c r="F69" s="6">
        <v>316050</v>
      </c>
      <c r="G69" s="6">
        <f>'[1]15-20'!A3</f>
        <v>158022</v>
      </c>
      <c r="H69" s="5">
        <v>158022</v>
      </c>
      <c r="I69" s="5">
        <f>H69*2</f>
        <v>316044</v>
      </c>
      <c r="J69" s="64">
        <v>350000</v>
      </c>
      <c r="K69" s="68">
        <v>316044</v>
      </c>
      <c r="L69" s="68" t="s">
        <v>112</v>
      </c>
      <c r="M69" s="68" t="s">
        <v>113</v>
      </c>
      <c r="N69" s="68"/>
      <c r="O69" s="68" t="s">
        <v>112</v>
      </c>
      <c r="P69" s="68" t="s">
        <v>113</v>
      </c>
      <c r="Q69"/>
      <c r="R69" s="68">
        <v>350000</v>
      </c>
      <c r="S69" s="1"/>
      <c r="T69"/>
    </row>
    <row r="70" spans="1:20" x14ac:dyDescent="0.25">
      <c r="A70" s="3" t="s">
        <v>64</v>
      </c>
      <c r="B70" s="22">
        <v>8856000</v>
      </c>
      <c r="C70" s="5">
        <f>3246428+720000+778634/1.27</f>
        <v>4579525.6377952751</v>
      </c>
      <c r="D70" s="6">
        <f>3000000</f>
        <v>3000000</v>
      </c>
      <c r="E70" s="6">
        <f t="shared" ref="E70:E79" si="17">C70+D70</f>
        <v>7579525.6377952751</v>
      </c>
      <c r="F70" s="6">
        <v>7580000</v>
      </c>
      <c r="G70" s="6">
        <f>'[1]15-20'!D3</f>
        <v>3342293.7007874018</v>
      </c>
      <c r="H70" s="5">
        <v>4693225</v>
      </c>
      <c r="I70" s="5">
        <f>H70/8*12</f>
        <v>7039837.5</v>
      </c>
      <c r="J70" s="64">
        <v>7500000</v>
      </c>
      <c r="K70" s="68">
        <v>8607391.5</v>
      </c>
      <c r="L70" s="68">
        <v>2906818</v>
      </c>
      <c r="M70" s="68">
        <v>89936</v>
      </c>
      <c r="N70" s="68" t="s">
        <v>107</v>
      </c>
      <c r="O70" s="68">
        <v>4083749</v>
      </c>
      <c r="P70" s="68"/>
      <c r="Q70"/>
      <c r="R70" s="68">
        <v>8607391.5</v>
      </c>
      <c r="S70" s="1"/>
      <c r="T70"/>
    </row>
    <row r="71" spans="1:20" x14ac:dyDescent="0.25">
      <c r="A71" s="3" t="s">
        <v>65</v>
      </c>
      <c r="B71" s="22">
        <v>20000000</v>
      </c>
      <c r="C71" s="5">
        <f>8695224+68000</f>
        <v>8763224</v>
      </c>
      <c r="D71" s="6">
        <f>68000+1610000+6600000/1.27</f>
        <v>6874850.3937007869</v>
      </c>
      <c r="E71" s="6">
        <f t="shared" si="17"/>
        <v>15638074.393700786</v>
      </c>
      <c r="F71" s="6">
        <v>15000000</v>
      </c>
      <c r="G71" s="6">
        <f>'[1]15-20'!G3</f>
        <v>5172140.94488189</v>
      </c>
      <c r="H71" s="5">
        <v>4946973</v>
      </c>
      <c r="I71" s="5">
        <v>9000000</v>
      </c>
      <c r="J71" s="64">
        <v>9000000</v>
      </c>
      <c r="K71" s="68">
        <v>5482657.5</v>
      </c>
      <c r="L71" s="68">
        <v>3085000</v>
      </c>
      <c r="M71" s="68">
        <v>67496</v>
      </c>
      <c r="N71" s="68" t="s">
        <v>108</v>
      </c>
      <c r="O71" s="68">
        <v>4083750</v>
      </c>
      <c r="P71" s="68">
        <v>445087</v>
      </c>
      <c r="Q71"/>
      <c r="R71" s="68">
        <v>5482657.5</v>
      </c>
      <c r="S71" s="1"/>
      <c r="T71"/>
    </row>
    <row r="72" spans="1:20" x14ac:dyDescent="0.25">
      <c r="A72" s="3" t="s">
        <v>66</v>
      </c>
      <c r="B72" s="22">
        <v>470000</v>
      </c>
      <c r="C72" s="5">
        <f>191286+57000+35000</f>
        <v>283286</v>
      </c>
      <c r="D72" s="6">
        <f>90000/1.27*2</f>
        <v>141732.28346456692</v>
      </c>
      <c r="E72" s="6">
        <f t="shared" si="17"/>
        <v>425018.28346456692</v>
      </c>
      <c r="F72" s="6">
        <v>430000</v>
      </c>
      <c r="G72" s="6">
        <f>'[1]15-20'!J3</f>
        <v>877358.26771653537</v>
      </c>
      <c r="H72" s="5">
        <v>1318815</v>
      </c>
      <c r="I72" s="5">
        <f t="shared" ref="I72:I78" si="18">H72/8*12</f>
        <v>1978222.5</v>
      </c>
      <c r="J72" s="64">
        <v>2200000</v>
      </c>
      <c r="K72" s="68">
        <v>1283883</v>
      </c>
      <c r="L72" s="68">
        <v>4132143</v>
      </c>
      <c r="M72" s="68">
        <v>107425</v>
      </c>
      <c r="N72" s="68" t="s">
        <v>109</v>
      </c>
      <c r="O72" s="68">
        <v>4083750</v>
      </c>
      <c r="P72" s="68">
        <v>445087</v>
      </c>
      <c r="Q72"/>
      <c r="R72" s="68">
        <v>1500000</v>
      </c>
      <c r="S72" s="1"/>
      <c r="T72"/>
    </row>
    <row r="73" spans="1:20" x14ac:dyDescent="0.25">
      <c r="A73" s="3" t="s">
        <v>67</v>
      </c>
      <c r="B73" s="22">
        <v>240000</v>
      </c>
      <c r="C73" s="5">
        <f>135582+24000</f>
        <v>159582</v>
      </c>
      <c r="D73" s="6">
        <f>24637/1.27*4</f>
        <v>77596.850393700792</v>
      </c>
      <c r="E73" s="6">
        <f t="shared" si="17"/>
        <v>237178.85039370079</v>
      </c>
      <c r="F73" s="6">
        <v>240000</v>
      </c>
      <c r="G73" s="6">
        <f>'[1]15-20'!M3</f>
        <v>59156.828193832596</v>
      </c>
      <c r="H73" s="5">
        <v>123361</v>
      </c>
      <c r="I73" s="5">
        <f t="shared" si="18"/>
        <v>185041.5</v>
      </c>
      <c r="J73" s="64">
        <v>240000</v>
      </c>
      <c r="K73" s="68">
        <v>281976</v>
      </c>
      <c r="L73" s="68">
        <v>4847000</v>
      </c>
      <c r="M73" s="68">
        <v>133592</v>
      </c>
      <c r="N73" s="68" t="s">
        <v>110</v>
      </c>
      <c r="O73" s="68">
        <v>3983750</v>
      </c>
      <c r="P73" s="68">
        <v>358637</v>
      </c>
      <c r="Q73"/>
      <c r="R73" s="68">
        <v>240000</v>
      </c>
      <c r="S73" s="1"/>
      <c r="T73"/>
    </row>
    <row r="74" spans="1:20" x14ac:dyDescent="0.25">
      <c r="A74" s="3" t="s">
        <v>68</v>
      </c>
      <c r="B74" s="22">
        <f>7961000+600000+60000</f>
        <v>8621000</v>
      </c>
      <c r="C74" s="5">
        <f>4266731+710000</f>
        <v>4976731</v>
      </c>
      <c r="D74" s="6">
        <f>2600000</f>
        <v>2600000</v>
      </c>
      <c r="E74" s="6">
        <f t="shared" si="17"/>
        <v>7576731</v>
      </c>
      <c r="F74" s="6">
        <v>7580000</v>
      </c>
      <c r="G74" s="6">
        <f>'[1]15-20'!P3</f>
        <v>4230546.4566929135</v>
      </c>
      <c r="H74" s="5">
        <v>5197429</v>
      </c>
      <c r="I74" s="5">
        <f t="shared" si="18"/>
        <v>7796143.5</v>
      </c>
      <c r="J74" s="64">
        <v>8500000</v>
      </c>
      <c r="K74" s="68">
        <v>9224349</v>
      </c>
      <c r="L74" s="68">
        <v>4625000</v>
      </c>
      <c r="M74" s="68">
        <v>143888</v>
      </c>
      <c r="N74" s="68" t="s">
        <v>111</v>
      </c>
      <c r="O74" s="68">
        <v>5483502</v>
      </c>
      <c r="P74" s="68">
        <v>452400</v>
      </c>
      <c r="Q74"/>
      <c r="R74" s="68">
        <v>9224349</v>
      </c>
      <c r="S74" s="1"/>
      <c r="T74"/>
    </row>
    <row r="75" spans="1:20" x14ac:dyDescent="0.25">
      <c r="A75" s="3" t="s">
        <v>69</v>
      </c>
      <c r="B75" s="22">
        <v>3600000</v>
      </c>
      <c r="C75" s="5">
        <f>2004000+250000</f>
        <v>2254000</v>
      </c>
      <c r="D75" s="6">
        <f>250000*4</f>
        <v>1000000</v>
      </c>
      <c r="E75" s="6">
        <f t="shared" si="17"/>
        <v>3254000</v>
      </c>
      <c r="F75" s="6">
        <v>3000000</v>
      </c>
      <c r="G75" s="6">
        <f>'[1]15-20'!S3</f>
        <v>1700000</v>
      </c>
      <c r="H75" s="5">
        <v>1990000</v>
      </c>
      <c r="I75" s="5">
        <f t="shared" si="18"/>
        <v>2985000</v>
      </c>
      <c r="J75" s="64">
        <v>3300000</v>
      </c>
      <c r="K75" s="68">
        <v>3795000</v>
      </c>
      <c r="L75" s="68"/>
      <c r="M75" s="68"/>
      <c r="N75" s="68" t="s">
        <v>116</v>
      </c>
      <c r="O75" s="68"/>
      <c r="P75" s="68"/>
      <c r="Q75"/>
      <c r="R75" s="68">
        <v>3795000</v>
      </c>
      <c r="S75" s="1"/>
      <c r="T75"/>
    </row>
    <row r="76" spans="1:20" x14ac:dyDescent="0.25">
      <c r="A76" s="3" t="s">
        <v>70</v>
      </c>
      <c r="B76" s="22">
        <v>300000</v>
      </c>
      <c r="C76" s="5">
        <f>170000+50000</f>
        <v>220000</v>
      </c>
      <c r="D76" s="6">
        <v>100000</v>
      </c>
      <c r="E76" s="6">
        <f t="shared" si="17"/>
        <v>320000</v>
      </c>
      <c r="F76" s="6">
        <v>350000</v>
      </c>
      <c r="G76" s="6">
        <f>'[1]15-20'!V3</f>
        <v>170000</v>
      </c>
      <c r="H76" s="5">
        <v>73153</v>
      </c>
      <c r="I76" s="5">
        <v>380000</v>
      </c>
      <c r="J76" s="64">
        <v>450000</v>
      </c>
      <c r="K76" s="68">
        <v>297750</v>
      </c>
      <c r="L76" s="76"/>
      <c r="M76" s="68"/>
      <c r="N76" s="68" t="s">
        <v>117</v>
      </c>
      <c r="O76" s="68"/>
      <c r="P76" s="68"/>
      <c r="Q76"/>
      <c r="R76" s="68">
        <v>297750</v>
      </c>
      <c r="S76" s="1"/>
      <c r="T76"/>
    </row>
    <row r="77" spans="1:20" x14ac:dyDescent="0.25">
      <c r="A77" s="3" t="s">
        <v>71</v>
      </c>
      <c r="B77" s="22">
        <v>450000</v>
      </c>
      <c r="C77" s="5">
        <v>286346</v>
      </c>
      <c r="D77" s="6">
        <v>50000</v>
      </c>
      <c r="E77" s="6">
        <f t="shared" si="17"/>
        <v>336346</v>
      </c>
      <c r="F77" s="6">
        <v>340000</v>
      </c>
      <c r="G77" s="6">
        <f>'[1]15-20'!X3</f>
        <v>377090.55118110235</v>
      </c>
      <c r="H77" s="5">
        <v>559600</v>
      </c>
      <c r="I77" s="5">
        <f t="shared" si="18"/>
        <v>839400</v>
      </c>
      <c r="J77" s="64">
        <v>850000</v>
      </c>
      <c r="K77" s="68">
        <v>970192.5</v>
      </c>
      <c r="L77" s="68"/>
      <c r="M77" s="68"/>
      <c r="N77" s="68" t="s">
        <v>119</v>
      </c>
      <c r="O77" s="68"/>
      <c r="P77" s="68"/>
      <c r="R77" s="68">
        <v>970192.5</v>
      </c>
    </row>
    <row r="78" spans="1:20" x14ac:dyDescent="0.25">
      <c r="A78" s="3" t="s">
        <v>72</v>
      </c>
      <c r="B78" s="22">
        <v>850000</v>
      </c>
      <c r="C78" s="5">
        <f>569118/1.27</f>
        <v>448124.40944881889</v>
      </c>
      <c r="D78" s="6">
        <f>C78/7*5</f>
        <v>320088.8638920135</v>
      </c>
      <c r="E78" s="6">
        <f t="shared" si="17"/>
        <v>768213.27334083244</v>
      </c>
      <c r="F78" s="6">
        <v>750000</v>
      </c>
      <c r="G78" s="6">
        <f>'[1]15-20'!A25</f>
        <v>511583.46456692915</v>
      </c>
      <c r="H78" s="5">
        <v>809781</v>
      </c>
      <c r="I78" s="5">
        <f t="shared" si="18"/>
        <v>1214671.5</v>
      </c>
      <c r="J78" s="64">
        <v>1200000</v>
      </c>
      <c r="K78" s="68">
        <v>1156564.5</v>
      </c>
      <c r="L78" s="68"/>
      <c r="M78" s="68"/>
      <c r="N78" s="68" t="s">
        <v>118</v>
      </c>
      <c r="O78" s="68"/>
      <c r="P78" s="68"/>
      <c r="R78" s="68">
        <v>1156564.5</v>
      </c>
    </row>
    <row r="79" spans="1:20" ht="15.75" thickBot="1" x14ac:dyDescent="0.3">
      <c r="A79" s="82" t="s">
        <v>73</v>
      </c>
      <c r="B79" s="83"/>
      <c r="C79" s="84">
        <v>885000</v>
      </c>
      <c r="D79" s="85">
        <f>C79/8*4</f>
        <v>442500</v>
      </c>
      <c r="E79" s="85">
        <f t="shared" si="17"/>
        <v>1327500</v>
      </c>
      <c r="F79" s="85">
        <v>1400000</v>
      </c>
      <c r="G79" s="85">
        <v>521278</v>
      </c>
      <c r="H79" s="84">
        <v>600416</v>
      </c>
      <c r="I79" s="84">
        <v>1000000</v>
      </c>
      <c r="J79" s="86">
        <v>1400000</v>
      </c>
      <c r="K79" s="68">
        <v>1014408</v>
      </c>
      <c r="L79" s="87"/>
      <c r="M79" s="87"/>
      <c r="N79" s="87" t="s">
        <v>120</v>
      </c>
      <c r="O79" s="87"/>
      <c r="P79" s="87"/>
      <c r="Q79" s="88"/>
      <c r="R79" s="68">
        <v>1400000</v>
      </c>
    </row>
    <row r="80" spans="1:20" x14ac:dyDescent="0.25">
      <c r="A80" s="90" t="s">
        <v>74</v>
      </c>
      <c r="B80" s="91">
        <f>SUM(B81:B83)</f>
        <v>4690000</v>
      </c>
      <c r="C80" s="66">
        <f>SUM(C81:C84)</f>
        <v>5383040</v>
      </c>
      <c r="D80" s="81">
        <f>SUM(D81:D84)</f>
        <v>900000</v>
      </c>
      <c r="E80" s="18">
        <f>D80+C80</f>
        <v>6283040</v>
      </c>
      <c r="F80" s="18">
        <v>5800000</v>
      </c>
      <c r="G80" s="18">
        <f t="shared" ref="G80:K80" si="19">G81+G82+G83</f>
        <v>3148068.5039370079</v>
      </c>
      <c r="H80" s="19">
        <f t="shared" si="19"/>
        <v>1960150</v>
      </c>
      <c r="I80" s="19">
        <f t="shared" si="19"/>
        <v>8440225</v>
      </c>
      <c r="J80" s="66">
        <f t="shared" si="19"/>
        <v>5700000</v>
      </c>
      <c r="K80" s="2">
        <f t="shared" si="19"/>
        <v>5630464.75</v>
      </c>
      <c r="L80" s="92"/>
      <c r="M80" s="92"/>
      <c r="N80" s="92" t="s">
        <v>121</v>
      </c>
      <c r="O80" s="92"/>
      <c r="P80" s="92"/>
      <c r="R80" s="81">
        <f t="shared" ref="R80" si="20">R81+R82+R83</f>
        <v>7006507</v>
      </c>
    </row>
    <row r="81" spans="1:18" x14ac:dyDescent="0.25">
      <c r="A81" s="3" t="s">
        <v>75</v>
      </c>
      <c r="B81" s="22">
        <v>690000</v>
      </c>
      <c r="C81" s="5">
        <v>855614</v>
      </c>
      <c r="D81" s="6">
        <v>150000</v>
      </c>
      <c r="E81" s="6"/>
      <c r="F81" s="6">
        <v>1000000</v>
      </c>
      <c r="G81" s="6">
        <f>'[1]15-20'!G25</f>
        <v>597634.64566929138</v>
      </c>
      <c r="H81" s="5">
        <v>706916</v>
      </c>
      <c r="I81" s="5">
        <f>H81/8*12</f>
        <v>1060374</v>
      </c>
      <c r="J81" s="64">
        <v>1200000</v>
      </c>
      <c r="K81" s="68">
        <v>94500</v>
      </c>
      <c r="L81" s="68"/>
      <c r="M81" s="68"/>
      <c r="N81" s="68" t="s">
        <v>122</v>
      </c>
      <c r="O81" s="68"/>
      <c r="P81" s="68"/>
      <c r="R81" s="68">
        <v>1000000</v>
      </c>
    </row>
    <row r="82" spans="1:18" x14ac:dyDescent="0.25">
      <c r="A82" s="3" t="s">
        <v>76</v>
      </c>
      <c r="B82" s="22">
        <v>2000000</v>
      </c>
      <c r="C82" s="5">
        <f>925659</f>
        <v>925659</v>
      </c>
      <c r="D82" s="6">
        <v>300000</v>
      </c>
      <c r="E82" s="6"/>
      <c r="F82" s="6">
        <v>2000000</v>
      </c>
      <c r="G82" s="6">
        <f>'[1]15-20'!J25</f>
        <v>354777.16535433067</v>
      </c>
      <c r="H82" s="5">
        <v>715292</v>
      </c>
      <c r="I82" s="5">
        <f>H82/8*12+1500000</f>
        <v>2572938</v>
      </c>
      <c r="J82" s="64">
        <v>2500000</v>
      </c>
      <c r="K82" s="68">
        <v>2755964.75</v>
      </c>
      <c r="L82" s="73">
        <f>SUM(L70:L81)</f>
        <v>19595961</v>
      </c>
      <c r="M82" s="73">
        <f>SUM(M70:M81)</f>
        <v>542337</v>
      </c>
      <c r="N82" s="73"/>
      <c r="O82" s="73">
        <f>SUM(O70:O81)</f>
        <v>21718501</v>
      </c>
      <c r="P82" s="73">
        <f>SUM(P70:P81)</f>
        <v>1701211</v>
      </c>
      <c r="R82" s="68">
        <v>3006507</v>
      </c>
    </row>
    <row r="83" spans="1:18" ht="15.75" thickBot="1" x14ac:dyDescent="0.3">
      <c r="A83" s="82" t="s">
        <v>77</v>
      </c>
      <c r="B83" s="83">
        <v>2000000</v>
      </c>
      <c r="C83" s="84">
        <f>619917+1820000</f>
        <v>2439917</v>
      </c>
      <c r="D83" s="85"/>
      <c r="E83" s="85"/>
      <c r="F83" s="85">
        <v>2800000</v>
      </c>
      <c r="G83" s="85">
        <f>'[1]15-20'!M25</f>
        <v>2195656.6929133856</v>
      </c>
      <c r="H83" s="84">
        <v>537942</v>
      </c>
      <c r="I83" s="84">
        <f>H83/8*12+1000000+3000000</f>
        <v>4806913</v>
      </c>
      <c r="J83" s="86">
        <v>2000000</v>
      </c>
      <c r="K83" s="87">
        <v>2780000</v>
      </c>
      <c r="L83" s="89"/>
      <c r="M83" s="88"/>
      <c r="N83" s="88"/>
      <c r="O83" s="88"/>
      <c r="P83" s="88"/>
      <c r="Q83" s="88"/>
      <c r="R83" s="87">
        <v>3000000</v>
      </c>
    </row>
    <row r="84" spans="1:18" ht="15.75" thickBot="1" x14ac:dyDescent="0.3">
      <c r="A84" s="117" t="s">
        <v>78</v>
      </c>
      <c r="B84" s="118">
        <v>2000000</v>
      </c>
      <c r="C84" s="119">
        <v>1161850</v>
      </c>
      <c r="D84" s="120">
        <v>450000</v>
      </c>
      <c r="E84" s="120"/>
      <c r="F84" s="121">
        <v>1500000</v>
      </c>
      <c r="G84" s="121">
        <v>1153200</v>
      </c>
      <c r="H84" s="122">
        <f>2935200/2</f>
        <v>1467600</v>
      </c>
      <c r="I84" s="122">
        <f>2935200/2</f>
        <v>1467600</v>
      </c>
      <c r="J84" s="123">
        <v>2700000</v>
      </c>
      <c r="K84" s="116">
        <v>3396450</v>
      </c>
      <c r="L84" s="126"/>
      <c r="M84" s="125"/>
      <c r="N84" s="125"/>
      <c r="O84" s="125"/>
      <c r="P84" s="125"/>
      <c r="Q84" s="125"/>
      <c r="R84" s="124">
        <v>3396450</v>
      </c>
    </row>
    <row r="85" spans="1:18" x14ac:dyDescent="0.25">
      <c r="A85" s="79" t="s">
        <v>79</v>
      </c>
      <c r="B85" s="16"/>
      <c r="C85" s="19">
        <v>8143677</v>
      </c>
      <c r="D85" s="18">
        <v>0</v>
      </c>
      <c r="E85" s="18">
        <f>C85+D85</f>
        <v>8143677</v>
      </c>
      <c r="F85" s="55"/>
      <c r="G85" s="55"/>
      <c r="H85" s="80">
        <v>63400</v>
      </c>
      <c r="I85" s="80">
        <f>21000+H85</f>
        <v>84400</v>
      </c>
      <c r="J85" s="66">
        <v>100000</v>
      </c>
      <c r="K85" s="129">
        <v>44000</v>
      </c>
      <c r="R85" s="127">
        <v>50000</v>
      </c>
    </row>
    <row r="86" spans="1:18" x14ac:dyDescent="0.25">
      <c r="A86" s="3" t="s">
        <v>123</v>
      </c>
      <c r="B86" s="47"/>
      <c r="C86" s="27">
        <v>900000</v>
      </c>
      <c r="D86" s="26">
        <v>0</v>
      </c>
      <c r="E86" s="26">
        <f>C86+D86</f>
        <v>900000</v>
      </c>
      <c r="F86" s="26"/>
      <c r="G86" s="26">
        <f>'[1]15-20'!P25</f>
        <v>121036.22047244094</v>
      </c>
      <c r="H86" s="27">
        <v>11256251</v>
      </c>
      <c r="I86" s="27">
        <f>H86/8*12</f>
        <v>16884376.5</v>
      </c>
      <c r="J86" s="48">
        <v>66800000</v>
      </c>
      <c r="K86" s="2">
        <v>37768938.75</v>
      </c>
      <c r="R86" s="2">
        <v>0</v>
      </c>
    </row>
    <row r="87" spans="1:18" x14ac:dyDescent="0.25">
      <c r="A87" s="3" t="s">
        <v>125</v>
      </c>
      <c r="B87" s="47"/>
      <c r="C87" s="27"/>
      <c r="D87" s="26"/>
      <c r="E87" s="26"/>
      <c r="F87" s="26"/>
      <c r="G87" s="26">
        <f>'[1]15-20'!S25</f>
        <v>942000</v>
      </c>
      <c r="H87" s="27">
        <f>250000+G87</f>
        <v>1192000</v>
      </c>
      <c r="I87" s="27">
        <f>10000*385</f>
        <v>3850000</v>
      </c>
      <c r="J87" s="48">
        <v>0</v>
      </c>
      <c r="K87" s="2">
        <v>2079200</v>
      </c>
      <c r="R87" s="2">
        <v>0</v>
      </c>
    </row>
    <row r="88" spans="1:18" ht="15.75" thickBot="1" x14ac:dyDescent="0.3">
      <c r="A88" s="82" t="s">
        <v>106</v>
      </c>
      <c r="B88" s="93"/>
      <c r="C88" s="97"/>
      <c r="D88" s="96"/>
      <c r="E88" s="96"/>
      <c r="F88" s="96"/>
      <c r="G88" s="96"/>
      <c r="H88" s="97"/>
      <c r="I88" s="97"/>
      <c r="J88" s="94"/>
      <c r="K88" s="95">
        <v>42149328.75</v>
      </c>
      <c r="L88" s="88"/>
      <c r="M88" s="88"/>
      <c r="N88" s="88"/>
      <c r="O88" s="88"/>
      <c r="P88" s="88"/>
      <c r="Q88" s="88"/>
      <c r="R88" s="95">
        <v>0</v>
      </c>
    </row>
    <row r="89" spans="1:18" ht="15.75" thickBot="1" x14ac:dyDescent="0.3">
      <c r="A89" s="111" t="s">
        <v>124</v>
      </c>
      <c r="B89" s="112"/>
      <c r="C89" s="113"/>
      <c r="D89" s="114"/>
      <c r="E89" s="114"/>
      <c r="F89" s="114"/>
      <c r="G89" s="114">
        <f>'[1]15-20'!X25</f>
        <v>1340743.3070866142</v>
      </c>
      <c r="H89" s="113">
        <f>869893+935460+106000+200000</f>
        <v>2111353</v>
      </c>
      <c r="I89" s="113">
        <f>H89+400000+80000+150000+230000+50000</f>
        <v>3021353</v>
      </c>
      <c r="J89" s="115">
        <f>250000+250000+240000*5+130000*5+50000*7+300000+500000</f>
        <v>3500000</v>
      </c>
      <c r="K89" s="116">
        <v>3810485</v>
      </c>
      <c r="L89" s="89"/>
      <c r="M89" s="88"/>
      <c r="N89" s="88"/>
      <c r="O89" s="88"/>
      <c r="P89" s="88"/>
      <c r="Q89" s="88"/>
      <c r="R89" s="116">
        <v>4000000</v>
      </c>
    </row>
    <row r="90" spans="1:18" x14ac:dyDescent="0.25">
      <c r="A90" s="105" t="s">
        <v>80</v>
      </c>
      <c r="B90" s="106">
        <f>SUM(B67,B47,B33)</f>
        <v>114928400</v>
      </c>
      <c r="C90" s="107">
        <f>C67+C47+C33</f>
        <v>83735630.047244102</v>
      </c>
      <c r="D90" s="106">
        <f>D80+D68+D47+D33</f>
        <v>33584830.391451068</v>
      </c>
      <c r="E90" s="108">
        <f>C90+D90</f>
        <v>117320460.43869516</v>
      </c>
      <c r="F90" s="108">
        <f>F67+F47+F33</f>
        <v>115786050</v>
      </c>
      <c r="G90" s="108">
        <f>G89+G87+G86+G67+G47+G33</f>
        <v>68633006.780949742</v>
      </c>
      <c r="H90" s="109">
        <f>H89+H87+H86+H85+H67+H47+H33</f>
        <v>84571127</v>
      </c>
      <c r="I90" s="109">
        <f>I89+I87+I86+I85+I67+I47+I33+50000</f>
        <v>136760443.5</v>
      </c>
      <c r="J90" s="110">
        <f>J89+J87+J86+J85+J67+J47+J33+50000</f>
        <v>192314600</v>
      </c>
      <c r="K90" s="130">
        <f>K89+K88+K87+K86+K85+K67+K47+K33+50000</f>
        <v>206742013.75</v>
      </c>
      <c r="L90" s="78">
        <f t="shared" ref="L90:R90" si="21">L89+L88+L87+L86+L85+L67+L47+L33+50000</f>
        <v>50000</v>
      </c>
      <c r="M90" s="78">
        <f t="shared" si="21"/>
        <v>50000</v>
      </c>
      <c r="N90" s="78">
        <f t="shared" si="21"/>
        <v>50000</v>
      </c>
      <c r="O90" s="78">
        <f t="shared" si="21"/>
        <v>50000</v>
      </c>
      <c r="P90" s="78">
        <f t="shared" si="21"/>
        <v>50000</v>
      </c>
      <c r="Q90" s="78">
        <f t="shared" si="21"/>
        <v>50000</v>
      </c>
      <c r="R90" s="78">
        <f t="shared" si="21"/>
        <v>136566817</v>
      </c>
    </row>
    <row r="91" spans="1:18" x14ac:dyDescent="0.25">
      <c r="A91" s="3"/>
      <c r="B91" s="22"/>
      <c r="C91" s="5"/>
      <c r="D91" s="6"/>
      <c r="E91" s="6"/>
      <c r="F91" s="6"/>
      <c r="G91" s="49"/>
      <c r="H91" s="50"/>
      <c r="I91" s="5"/>
      <c r="J91" s="64"/>
      <c r="K91" s="68"/>
      <c r="R91" s="68"/>
    </row>
    <row r="92" spans="1:18" x14ac:dyDescent="0.25">
      <c r="A92" s="31" t="s">
        <v>81</v>
      </c>
      <c r="B92" s="51">
        <v>0</v>
      </c>
      <c r="C92" s="52"/>
      <c r="D92" s="37"/>
      <c r="E92" s="37"/>
      <c r="F92" s="37">
        <f t="shared" ref="F92:K92" si="22">F31-F90</f>
        <v>1013950</v>
      </c>
      <c r="G92" s="37" t="e">
        <f t="shared" si="22"/>
        <v>#REF!</v>
      </c>
      <c r="H92" s="52" t="e">
        <f t="shared" si="22"/>
        <v>#REF!</v>
      </c>
      <c r="I92" s="52" t="e">
        <f t="shared" si="22"/>
        <v>#REF!</v>
      </c>
      <c r="J92" s="52">
        <f t="shared" si="22"/>
        <v>1005400</v>
      </c>
      <c r="K92" s="37">
        <f t="shared" si="22"/>
        <v>881565.75</v>
      </c>
      <c r="R92" s="37">
        <f t="shared" ref="R92" si="23">R31-R90</f>
        <v>5785151.349999994</v>
      </c>
    </row>
    <row r="93" spans="1:18" x14ac:dyDescent="0.25">
      <c r="A93" s="3"/>
      <c r="B93" s="22">
        <v>0</v>
      </c>
      <c r="C93" s="5"/>
      <c r="D93" s="6"/>
      <c r="E93" s="6"/>
      <c r="F93" s="6"/>
      <c r="G93" s="6"/>
      <c r="H93" s="5"/>
      <c r="I93" s="5"/>
      <c r="J93" s="64"/>
      <c r="K93" s="68"/>
      <c r="R93" s="68"/>
    </row>
    <row r="94" spans="1:18" x14ac:dyDescent="0.25">
      <c r="A94" s="3" t="s">
        <v>82</v>
      </c>
      <c r="B94" s="22">
        <v>0</v>
      </c>
      <c r="C94" s="5"/>
      <c r="D94" s="6"/>
      <c r="E94" s="6"/>
      <c r="F94" s="6"/>
      <c r="G94" s="6"/>
      <c r="H94" s="5"/>
      <c r="I94" s="5"/>
      <c r="J94" s="64"/>
      <c r="K94" s="68"/>
      <c r="R94" s="68"/>
    </row>
    <row r="95" spans="1:18" x14ac:dyDescent="0.25">
      <c r="A95" s="3" t="s">
        <v>83</v>
      </c>
      <c r="B95" s="22">
        <v>0</v>
      </c>
      <c r="C95" s="5"/>
      <c r="D95" s="6"/>
      <c r="E95" s="6"/>
      <c r="F95" s="6"/>
      <c r="G95" s="6"/>
      <c r="H95" s="5"/>
      <c r="I95" s="5"/>
      <c r="J95" s="64"/>
      <c r="K95" s="68"/>
      <c r="R95" s="68"/>
    </row>
    <row r="96" spans="1:18" x14ac:dyDescent="0.25">
      <c r="A96" s="3" t="s">
        <v>84</v>
      </c>
      <c r="B96" s="22"/>
      <c r="C96" s="5"/>
      <c r="D96" s="6"/>
      <c r="E96" s="6"/>
      <c r="F96" s="6"/>
      <c r="G96" s="6"/>
      <c r="H96" s="5"/>
      <c r="I96" s="5"/>
      <c r="J96" s="64"/>
      <c r="K96" s="68"/>
      <c r="L96" s="1"/>
      <c r="R96" s="68"/>
    </row>
    <row r="97" spans="1:18" x14ac:dyDescent="0.25">
      <c r="A97" s="3" t="s">
        <v>99</v>
      </c>
      <c r="B97" s="22"/>
      <c r="C97" s="5"/>
      <c r="D97" s="6"/>
      <c r="E97" s="6"/>
      <c r="F97" s="6"/>
      <c r="G97" s="6"/>
      <c r="H97" s="5"/>
      <c r="I97" s="5"/>
      <c r="J97" s="64"/>
      <c r="K97" s="68">
        <v>666830</v>
      </c>
      <c r="R97" s="68">
        <v>666830</v>
      </c>
    </row>
    <row r="98" spans="1:18" x14ac:dyDescent="0.25">
      <c r="A98" s="31" t="s">
        <v>85</v>
      </c>
      <c r="B98" s="53" t="e">
        <f>SUM(B31)-B90</f>
        <v>#REF!</v>
      </c>
      <c r="C98" s="54">
        <f>SUM(C31)-C90</f>
        <v>7545244.9527558982</v>
      </c>
      <c r="D98" s="37"/>
      <c r="E98" s="37">
        <f>E31-E90</f>
        <v>-2954697.4386951625</v>
      </c>
      <c r="F98" s="37">
        <v>1013500</v>
      </c>
      <c r="G98" s="37" t="e">
        <f t="shared" ref="G98:J98" si="24">G31-G90</f>
        <v>#REF!</v>
      </c>
      <c r="H98" s="52" t="e">
        <f t="shared" si="24"/>
        <v>#REF!</v>
      </c>
      <c r="I98" s="52" t="e">
        <f t="shared" si="24"/>
        <v>#REF!</v>
      </c>
      <c r="J98" s="52">
        <f t="shared" si="24"/>
        <v>1005400</v>
      </c>
      <c r="K98" s="37">
        <f>(K92-K97)</f>
        <v>214735.75</v>
      </c>
      <c r="R98" s="37">
        <f>R31-R90-R97</f>
        <v>5118321.349999994</v>
      </c>
    </row>
    <row r="99" spans="1:18" x14ac:dyDescent="0.25">
      <c r="A99" s="3"/>
      <c r="B99" s="6"/>
      <c r="C99" s="5"/>
      <c r="D99" s="6"/>
      <c r="E99" s="6"/>
      <c r="F99" s="6"/>
      <c r="G99" s="55"/>
      <c r="H99" s="56"/>
      <c r="I99" s="5"/>
      <c r="J99" s="64"/>
      <c r="K99" s="68"/>
      <c r="L99" s="141"/>
      <c r="M99" s="142"/>
      <c r="N99" s="142"/>
      <c r="O99" s="142"/>
      <c r="P99" s="142"/>
      <c r="Q99" s="142"/>
      <c r="R99" s="68"/>
    </row>
    <row r="100" spans="1:18" x14ac:dyDescent="0.25">
      <c r="B100" s="58"/>
    </row>
  </sheetData>
  <mergeCells count="3">
    <mergeCell ref="G1:H1"/>
    <mergeCell ref="L68:M68"/>
    <mergeCell ref="O68:P68"/>
  </mergeCells>
  <phoneticPr fontId="6" type="noConversion"/>
  <pageMargins left="0.11811023622047245" right="0.11811023622047245" top="0.74803149606299213" bottom="0.74803149606299213" header="0.31496062992125984" footer="0.31496062992125984"/>
  <pageSetup paperSize="9" scale="90" orientation="landscape" r:id="rId1"/>
  <headerFooter>
    <oddHeader xml:space="preserve">&amp;C&amp;"-,Félkövér"&amp;14Magyar Újságírók Országos Szövetsége </oddHeader>
    <oddFooter>&amp;L&amp;D&amp;C&amp;P/&amp;N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775F-3CBB-439E-BC28-28A21405CED1}">
  <dimension ref="A2:H16"/>
  <sheetViews>
    <sheetView workbookViewId="0">
      <selection activeCell="A16" sqref="A16:H16"/>
    </sheetView>
  </sheetViews>
  <sheetFormatPr defaultRowHeight="15" x14ac:dyDescent="0.25"/>
  <cols>
    <col min="1" max="1" width="10.85546875" style="1" bestFit="1" customWidth="1"/>
    <col min="2" max="2" width="18" bestFit="1" customWidth="1"/>
    <col min="3" max="3" width="10.85546875" bestFit="1" customWidth="1"/>
    <col min="4" max="4" width="10.7109375" bestFit="1" customWidth="1"/>
  </cols>
  <sheetData>
    <row r="2" spans="1:8" x14ac:dyDescent="0.25">
      <c r="A2" s="62" t="s">
        <v>96</v>
      </c>
      <c r="B2" s="63"/>
    </row>
    <row r="3" spans="1:8" x14ac:dyDescent="0.25">
      <c r="A3" s="62" t="s">
        <v>91</v>
      </c>
    </row>
    <row r="4" spans="1:8" x14ac:dyDescent="0.25">
      <c r="A4" s="1">
        <v>36000000</v>
      </c>
      <c r="B4" t="s">
        <v>92</v>
      </c>
    </row>
    <row r="5" spans="1:8" x14ac:dyDescent="0.25">
      <c r="A5" s="1">
        <v>89802860</v>
      </c>
      <c r="B5" t="s">
        <v>93</v>
      </c>
    </row>
    <row r="7" spans="1:8" x14ac:dyDescent="0.25">
      <c r="A7" s="62">
        <f>SUM(A4:A6)</f>
        <v>125802860</v>
      </c>
      <c r="B7" s="63" t="s">
        <v>9</v>
      </c>
    </row>
    <row r="9" spans="1:8" x14ac:dyDescent="0.25">
      <c r="A9" s="1">
        <v>55000000</v>
      </c>
      <c r="B9" t="s">
        <v>94</v>
      </c>
    </row>
    <row r="10" spans="1:8" x14ac:dyDescent="0.25">
      <c r="A10" s="1">
        <v>76500000</v>
      </c>
      <c r="B10" t="s">
        <v>94</v>
      </c>
    </row>
    <row r="11" spans="1:8" x14ac:dyDescent="0.25">
      <c r="A11" s="62">
        <f>SUM(A9:A10)</f>
        <v>131500000</v>
      </c>
      <c r="B11" s="63" t="s">
        <v>9</v>
      </c>
      <c r="C11" s="1"/>
    </row>
    <row r="13" spans="1:8" x14ac:dyDescent="0.25">
      <c r="A13" s="62">
        <f>A11-A7</f>
        <v>5697140</v>
      </c>
      <c r="B13" s="63" t="s">
        <v>95</v>
      </c>
    </row>
    <row r="14" spans="1:8" x14ac:dyDescent="0.25">
      <c r="B14" t="s">
        <v>97</v>
      </c>
    </row>
    <row r="16" spans="1:8" x14ac:dyDescent="0.25">
      <c r="A16" s="146" t="s">
        <v>98</v>
      </c>
      <c r="B16" s="146"/>
      <c r="C16" s="146"/>
      <c r="D16" s="146"/>
      <c r="E16" s="146"/>
      <c r="F16" s="146"/>
      <c r="G16" s="146"/>
      <c r="H16" s="146"/>
    </row>
  </sheetData>
  <mergeCells count="1">
    <mergeCell ref="A16:H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017A1885CCFE4EA6BDC3EDE066DD11" ma:contentTypeVersion="4" ma:contentTypeDescription="Create a new document." ma:contentTypeScope="" ma:versionID="570d11af4b699022958c68a3eb3781d1">
  <xsd:schema xmlns:xsd="http://www.w3.org/2001/XMLSchema" xmlns:xs="http://www.w3.org/2001/XMLSchema" xmlns:p="http://schemas.microsoft.com/office/2006/metadata/properties" xmlns:ns3="aa536916-042e-44a5-80f2-ea79b75f2e57" targetNamespace="http://schemas.microsoft.com/office/2006/metadata/properties" ma:root="true" ma:fieldsID="a5d2ad7bbec9fe0c21ccfe0462b47294" ns3:_="">
    <xsd:import namespace="aa536916-042e-44a5-80f2-ea79b75f2e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36916-042e-44a5-80f2-ea79b75f2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9F9EA-628C-4D2C-A39D-683EACEFD59F}">
  <ds:schemaRefs>
    <ds:schemaRef ds:uri="http://purl.org/dc/terms/"/>
    <ds:schemaRef ds:uri="http://purl.org/dc/dcmitype/"/>
    <ds:schemaRef ds:uri="aa536916-042e-44a5-80f2-ea79b75f2e57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48FDB3-8653-49D7-84C8-6E6F4DD77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36916-042e-44a5-80f2-ea79b75f2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FE3C7-A728-4A35-8FC5-A33B94FF9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Rajos Éva</dc:creator>
  <cp:lastModifiedBy>Rajos Éva</cp:lastModifiedBy>
  <cp:lastPrinted>2025-10-02T14:41:26Z</cp:lastPrinted>
  <dcterms:created xsi:type="dcterms:W3CDTF">2024-09-26T17:39:57Z</dcterms:created>
  <dcterms:modified xsi:type="dcterms:W3CDTF">2025-12-01T17:31:16Z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0x010100C3017A1885CCFE4EA6BDC3EDE066DD11</vt:lpwstr>
  </property>
</Properties>
</file>